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3020" windowHeight="8010" firstSheet="18" activeTab="18"/>
  </bookViews>
  <sheets>
    <sheet name="Вор.24" sheetId="1" r:id="rId1"/>
    <sheet name="Вор.46" sheetId="2" r:id="rId2"/>
    <sheet name="Вор.26" sheetId="3" r:id="rId3"/>
    <sheet name="Вор.28" sheetId="4" r:id="rId4"/>
    <sheet name="Вор.34" sheetId="5" r:id="rId5"/>
    <sheet name="Вор.38" sheetId="6" r:id="rId6"/>
    <sheet name="Вор.40" sheetId="7" r:id="rId7"/>
    <sheet name="Вор.42" sheetId="8" r:id="rId8"/>
    <sheet name="Вор.44" sheetId="9" r:id="rId9"/>
    <sheet name="Дом.43" sheetId="10" r:id="rId10"/>
    <sheet name="Дом.45" sheetId="11" r:id="rId11"/>
    <sheet name="Дом.55" sheetId="12" r:id="rId12"/>
    <sheet name="Дом.57" sheetId="13" r:id="rId13"/>
    <sheet name="Марш.18" sheetId="14" r:id="rId14"/>
    <sheet name="Марш.11" sheetId="15" r:id="rId15"/>
    <sheet name="Крив.70" sheetId="16" r:id="rId16"/>
    <sheet name="Крив68" sheetId="17" r:id="rId17"/>
    <sheet name="Г.Сиб.105" sheetId="18" r:id="rId18"/>
    <sheet name="Г.Сиб.103" sheetId="19" r:id="rId19"/>
    <sheet name="Г.Сиб.101" sheetId="20" r:id="rId20"/>
    <sheet name="Г.Сиб.99" sheetId="21" r:id="rId21"/>
    <sheet name="Г.Сиб.89" sheetId="22" r:id="rId22"/>
    <sheet name="Г.Сиб.87" sheetId="23" r:id="rId23"/>
    <sheet name="Ю.Янон.24" sheetId="24" r:id="rId24"/>
    <sheet name="Ю.Янон.15" sheetId="25" r:id="rId25"/>
    <sheet name="Ю.Янон.14а" sheetId="26" r:id="rId26"/>
    <sheet name="Ю.Янон.12а" sheetId="27" r:id="rId27"/>
    <sheet name="Ю.Ян.10,2" sheetId="28" r:id="rId28"/>
    <sheet name="Ю.Янон.10,1" sheetId="29" r:id="rId29"/>
    <sheet name="Ю.Янон.8,2" sheetId="30" r:id="rId30"/>
    <sheet name="Ю.Янон.8,1" sheetId="31" r:id="rId31"/>
    <sheet name="Дом.15" sheetId="32" r:id="rId32"/>
    <sheet name="Дом.17" sheetId="33" r:id="rId33"/>
    <sheet name="Дом.19" sheetId="34" r:id="rId34"/>
    <sheet name="Дом.25" sheetId="35" r:id="rId35"/>
    <sheet name="Дом.31" sheetId="36" r:id="rId36"/>
    <sheet name="Дом.33" sheetId="37" r:id="rId37"/>
    <sheet name="Дом.35" sheetId="38" r:id="rId38"/>
    <sheet name="Дом.37" sheetId="39" r:id="rId39"/>
    <sheet name="Дом.59" sheetId="40" r:id="rId40"/>
    <sheet name="Дом.61" sheetId="41" r:id="rId41"/>
    <sheet name="Дом.63" sheetId="42" r:id="rId42"/>
    <sheet name="Дом.75" sheetId="43" r:id="rId43"/>
    <sheet name="Дом.77" sheetId="44" r:id="rId44"/>
    <sheet name="Дом.79" sheetId="45" r:id="rId45"/>
    <sheet name="Б.П.1" sheetId="46" r:id="rId46"/>
    <sheet name="Б.П.3" sheetId="47" r:id="rId47"/>
    <sheet name="Б.П.5" sheetId="48" r:id="rId48"/>
    <sheet name="Б.П.15" sheetId="49" r:id="rId49"/>
    <sheet name="Б.П.21" sheetId="50" r:id="rId50"/>
    <sheet name="Б.П.25" sheetId="51" r:id="rId51"/>
    <sheet name="Б.П.27" sheetId="52" r:id="rId52"/>
    <sheet name="Косм.18" sheetId="53" r:id="rId53"/>
    <sheet name="Косм.22" sheetId="54" r:id="rId54"/>
    <sheet name="Косм.22а" sheetId="55" r:id="rId55"/>
    <sheet name="Косм.24" sheetId="56" r:id="rId56"/>
    <sheet name="Косм.26" sheetId="57" r:id="rId57"/>
    <sheet name="Косм.28" sheetId="58" r:id="rId58"/>
    <sheet name="Косм.30" sheetId="59" r:id="rId59"/>
    <sheet name="Косм.48" sheetId="60" r:id="rId60"/>
    <sheet name="Косм.50" sheetId="61" r:id="rId61"/>
    <sheet name="Косм.52" sheetId="62" r:id="rId62"/>
    <sheet name="Косм.56" sheetId="63" r:id="rId63"/>
    <sheet name="Косм.60" sheetId="64" r:id="rId64"/>
    <sheet name="Косм.62" sheetId="65" r:id="rId65"/>
  </sheets>
  <calcPr calcId="125725" refMode="R1C1"/>
</workbook>
</file>

<file path=xl/calcChain.xml><?xml version="1.0" encoding="utf-8"?>
<calcChain xmlns="http://schemas.openxmlformats.org/spreadsheetml/2006/main">
  <c r="C11" i="19"/>
  <c r="C14" i="30"/>
  <c r="C13"/>
  <c r="C10" i="18"/>
  <c r="C10" i="23"/>
  <c r="B10" s="1"/>
  <c r="C10" i="27"/>
  <c r="C10" i="30"/>
  <c r="B10" i="6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6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0"/>
  <c r="C11"/>
  <c r="B11" s="1"/>
  <c r="B10" i="63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32"/>
  <c r="C28"/>
  <c r="C14"/>
  <c r="C13"/>
  <c r="C11"/>
  <c r="C10"/>
  <c r="B10" i="6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3"/>
  <c r="C28" s="1"/>
  <c r="C14"/>
  <c r="C11"/>
  <c r="B10" i="6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6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5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58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5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3"/>
  <c r="C28"/>
  <c r="C14"/>
  <c r="C11"/>
  <c r="B10" i="5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5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C9"/>
  <c r="B10" i="5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C10"/>
  <c r="B10" i="53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5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5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5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4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48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4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4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4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4"/>
  <c r="C13"/>
  <c r="C28"/>
  <c r="C11"/>
  <c r="B10" i="4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43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4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4"/>
  <c r="C13"/>
  <c r="C28"/>
  <c r="C11"/>
  <c r="B10" i="4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4" i="40"/>
  <c r="C13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C11"/>
  <c r="B10" i="3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8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4"/>
  <c r="C13"/>
  <c r="C28"/>
  <c r="C11"/>
  <c r="C10"/>
  <c r="B10" i="3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3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 i="33"/>
  <c r="B1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32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0" i="3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3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2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C10"/>
  <c r="B10" i="2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2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2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2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9" i="23"/>
  <c r="B14"/>
  <c r="B15"/>
  <c r="B16"/>
  <c r="B17"/>
  <c r="B18"/>
  <c r="B19"/>
  <c r="B20"/>
  <c r="B21"/>
  <c r="B22"/>
  <c r="B23"/>
  <c r="B24"/>
  <c r="B25"/>
  <c r="B26"/>
  <c r="B27"/>
  <c r="B13"/>
  <c r="C28"/>
  <c r="B28" s="1"/>
  <c r="C13"/>
  <c r="C14"/>
  <c r="C11"/>
  <c r="B11" s="1"/>
  <c r="B10" i="2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2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1" s="1"/>
  <c r="C10"/>
  <c r="B10" i="2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19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1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1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16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0" i="1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1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13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C10"/>
  <c r="B10" i="1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1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8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6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0"/>
  <c r="C11"/>
  <c r="B11" s="1"/>
  <c r="B10" i="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4"/>
  <c r="C13"/>
  <c r="C11"/>
  <c r="B11" s="1"/>
  <c r="B10" i="4"/>
  <c r="B11"/>
  <c r="B9"/>
  <c r="B14"/>
  <c r="B15"/>
  <c r="B16"/>
  <c r="B17"/>
  <c r="B18"/>
  <c r="B19"/>
  <c r="B20"/>
  <c r="B21"/>
  <c r="B22"/>
  <c r="B23"/>
  <c r="B24"/>
  <c r="B25"/>
  <c r="B26"/>
  <c r="B27"/>
  <c r="B28"/>
  <c r="B13"/>
  <c r="C13"/>
  <c r="C28"/>
  <c r="C14"/>
  <c r="C11"/>
  <c r="B10" i="3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13"/>
  <c r="C14"/>
  <c r="C28" s="1"/>
  <c r="C11"/>
  <c r="B11" s="1"/>
  <c r="C10"/>
  <c r="B11" i="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10"/>
  <c r="C29"/>
  <c r="C15"/>
  <c r="C14"/>
  <c r="C12"/>
  <c r="B11" i="1"/>
  <c r="B13"/>
  <c r="B14"/>
  <c r="B15"/>
  <c r="B16"/>
  <c r="B17"/>
  <c r="B18"/>
  <c r="B19"/>
  <c r="B20"/>
  <c r="B21"/>
  <c r="B22"/>
  <c r="B23"/>
  <c r="B24"/>
  <c r="B25"/>
  <c r="B26"/>
  <c r="B27"/>
  <c r="B28"/>
  <c r="B10"/>
  <c r="C29"/>
  <c r="B29" s="1"/>
  <c r="C15"/>
  <c r="C14"/>
  <c r="C12"/>
  <c r="B12" s="1"/>
  <c r="C11"/>
</calcChain>
</file>

<file path=xl/sharedStrings.xml><?xml version="1.0" encoding="utf-8"?>
<sst xmlns="http://schemas.openxmlformats.org/spreadsheetml/2006/main" count="2535" uniqueCount="116">
  <si>
    <t xml:space="preserve">                                                        Карточка лицевого счета</t>
  </si>
  <si>
    <t xml:space="preserve">                                          жилого дома № 24 ул. </t>
  </si>
  <si>
    <t>Ворошилова</t>
  </si>
  <si>
    <t xml:space="preserve">                                                    находящегося на техобслуживании</t>
  </si>
  <si>
    <t xml:space="preserve">                                                             УК РЭК №12 </t>
  </si>
  <si>
    <t xml:space="preserve">     Наименование статей дохода и расхода</t>
  </si>
  <si>
    <t>Сумма  в месяц</t>
  </si>
  <si>
    <t>Сумма за    год</t>
  </si>
  <si>
    <t>Остаток на  начало года</t>
  </si>
  <si>
    <t>1.Оплачено собственниками жилых помещений по ЕПД на содержание и тек.ремонт.</t>
  </si>
  <si>
    <t>2.Оплачено собственниками  нежилых помещений на содер. и текущий ремонт, доход от интернетпровайдеров,рекламы</t>
  </si>
  <si>
    <t>ИТОГО ДОХОД</t>
  </si>
  <si>
    <t>РАСХОД</t>
  </si>
  <si>
    <t>1. Техническое обслуживание инженерных сетей, конструктивных элементов, в т.ч. з/плата, отчисления в пенсионный фонд, соцстрах,спецодежда, инструмент, расходные материалы.</t>
  </si>
  <si>
    <t xml:space="preserve">2.Уборка придомовой территории  и лестничных клеток, в т.ч. з/плата, отчисления в пенсионный фонд, соцстрах,инвентарь,спецодежда,расходные материалы.  </t>
  </si>
  <si>
    <t>3.Уборка мусоропровода,  в т.ч. з/плата, отчисления в пенсионный фонд, соцстрах, инвентарь, спецодежда,расходные материалы.</t>
  </si>
  <si>
    <t>3.Текущий ремонт</t>
  </si>
  <si>
    <t>4.Содержание аварийно-спасательной службы</t>
  </si>
  <si>
    <t>5.Дератизация жилых домов</t>
  </si>
  <si>
    <t>6. Тех.обслуживание и освидет. лифтов</t>
  </si>
  <si>
    <t>7.Содержание паспортного стола</t>
  </si>
  <si>
    <t>8.Авт.учет, ком.сбор вычислительного центра</t>
  </si>
  <si>
    <t>9.Содержание УК</t>
  </si>
  <si>
    <t>10.Прочистка ветканалов, дымоходов</t>
  </si>
  <si>
    <t>11.Налог УСНО</t>
  </si>
  <si>
    <t>12.Техническое обслуживание газопровода</t>
  </si>
  <si>
    <t>13.Работа сторонних организаций</t>
  </si>
  <si>
    <t>14.Вывоз ТБО, КГО</t>
  </si>
  <si>
    <t>ИТОГО  РАСХОД</t>
  </si>
  <si>
    <t>Остаток на конец года</t>
  </si>
  <si>
    <t>Перерасход на конец года</t>
  </si>
  <si>
    <t xml:space="preserve">Задолженность собственников жилого дома по ЕПД на конец года составляет- </t>
  </si>
  <si>
    <t>Задолженнность жилого дома перед поставщиками коммунальных услуг(отопление,ГВС,ХВС) по состоянию на 01.01.2015г.-</t>
  </si>
  <si>
    <t>ВСЕГО по карточке лицевого счета</t>
  </si>
  <si>
    <t>Главный бухгалтер                                                    Артеменко Л.К.</t>
  </si>
  <si>
    <t>Карточку лицевого счета получила</t>
  </si>
  <si>
    <t>______________201    г</t>
  </si>
  <si>
    <t xml:space="preserve">                                                                  за 2015г.</t>
  </si>
  <si>
    <t xml:space="preserve">                                          жилого дома № 26 ул. </t>
  </si>
  <si>
    <t xml:space="preserve">                                          жилого дома № 46 ул. </t>
  </si>
  <si>
    <t xml:space="preserve">                                          жилого дома № 28 ул. </t>
  </si>
  <si>
    <t xml:space="preserve"> </t>
  </si>
  <si>
    <t xml:space="preserve">                                          жилого дома № 34 ул. </t>
  </si>
  <si>
    <t xml:space="preserve">                                          жилого дома № 38 ул. </t>
  </si>
  <si>
    <t xml:space="preserve">                                          жилого дома № 40  ул. </t>
  </si>
  <si>
    <t xml:space="preserve">                                          жилого дома № 42 ул. </t>
  </si>
  <si>
    <t xml:space="preserve">                                          жилого дома № 44 ул. </t>
  </si>
  <si>
    <t xml:space="preserve">                                          жилого дома № 43 ул. </t>
  </si>
  <si>
    <t>Домостроителей</t>
  </si>
  <si>
    <t xml:space="preserve">                                          жилого дома № 45 ул. </t>
  </si>
  <si>
    <t xml:space="preserve">                                          жилого дома № 55 ул. </t>
  </si>
  <si>
    <t xml:space="preserve">                                          жилого дома № 57 ул. </t>
  </si>
  <si>
    <t xml:space="preserve">                                          жилого дома № 18 ул. </t>
  </si>
  <si>
    <t>Маршака</t>
  </si>
  <si>
    <t xml:space="preserve">                                          жилого дома № 11 ул. </t>
  </si>
  <si>
    <t xml:space="preserve">                                          жилого дома № 70 ул. </t>
  </si>
  <si>
    <t>Кривошеина</t>
  </si>
  <si>
    <t xml:space="preserve">                                          жилого дома № 68 ул. </t>
  </si>
  <si>
    <t xml:space="preserve">                                          жилого дома № 105 ул. </t>
  </si>
  <si>
    <t xml:space="preserve">Г.Сибиряков </t>
  </si>
  <si>
    <t xml:space="preserve">                                          жилого дома № 103 ул. </t>
  </si>
  <si>
    <t xml:space="preserve">                                          жилого дома № 101 ул. </t>
  </si>
  <si>
    <t xml:space="preserve">                                          жилого дома № 99 ул. </t>
  </si>
  <si>
    <t xml:space="preserve">                                          жилого дома № 89 ул. </t>
  </si>
  <si>
    <t xml:space="preserve">Председатель МКД                      </t>
  </si>
  <si>
    <t xml:space="preserve">                                          жилого дома № 87 ул. </t>
  </si>
  <si>
    <t>Ю.Янониса</t>
  </si>
  <si>
    <t xml:space="preserve">                                          жилого дома № 15 ул. </t>
  </si>
  <si>
    <t xml:space="preserve">                                          жилого дома № 14а  ул. </t>
  </si>
  <si>
    <t xml:space="preserve">                                          жилого дома № 12а  ул. </t>
  </si>
  <si>
    <t xml:space="preserve">                                          жилого дома № 10/2  ул. </t>
  </si>
  <si>
    <t xml:space="preserve">                                          жилого дома № 10/1  ул. </t>
  </si>
  <si>
    <t xml:space="preserve">                                          жилого дома № 8/2  ул. </t>
  </si>
  <si>
    <t xml:space="preserve">                                          жилого дома № 8/1  ул. </t>
  </si>
  <si>
    <t xml:space="preserve">                                          жилого дома № 15  ул. </t>
  </si>
  <si>
    <t xml:space="preserve">                                          жилого дома № 17  ул. </t>
  </si>
  <si>
    <t xml:space="preserve">                                          жилого дома № 19  ул. </t>
  </si>
  <si>
    <t xml:space="preserve">                                          жилого дома № 25 ул. </t>
  </si>
  <si>
    <t xml:space="preserve">                                          жилого дома № 31 ул. </t>
  </si>
  <si>
    <t xml:space="preserve">                                          жилого дома № 33 ул. </t>
  </si>
  <si>
    <t xml:space="preserve">                                          жилого дома № 35 ул. </t>
  </si>
  <si>
    <t xml:space="preserve">                                          жилого дома № 37 ул. </t>
  </si>
  <si>
    <t xml:space="preserve">                                          жилого дома № 59 ул. </t>
  </si>
  <si>
    <t xml:space="preserve">                                          жилого дома № 61 ул. </t>
  </si>
  <si>
    <t xml:space="preserve">                                          жилого дома № 63 ул. </t>
  </si>
  <si>
    <t xml:space="preserve">                                          жилого дома № 75 ул. </t>
  </si>
  <si>
    <t xml:space="preserve">                                          жилого дома № 77  ул. </t>
  </si>
  <si>
    <t xml:space="preserve">                                          жилого дома № 79      ул. </t>
  </si>
  <si>
    <t xml:space="preserve">                                          жилого дома № 1      ул. </t>
  </si>
  <si>
    <t>Б.Пионеров</t>
  </si>
  <si>
    <t xml:space="preserve">                                          жилого дома № 3    ул. </t>
  </si>
  <si>
    <t xml:space="preserve">                                          жилого дома № 5    ул. </t>
  </si>
  <si>
    <t xml:space="preserve">                                          жилого дома №15    ул. </t>
  </si>
  <si>
    <t xml:space="preserve">                                          жилого дома №21   ул. </t>
  </si>
  <si>
    <t xml:space="preserve">                                          жилого дома №25               ул. </t>
  </si>
  <si>
    <t xml:space="preserve">                                          жилого дома №27              ул. </t>
  </si>
  <si>
    <t xml:space="preserve">                                          жилого дома №  18             ул. </t>
  </si>
  <si>
    <t>Космонавтов</t>
  </si>
  <si>
    <t xml:space="preserve">                                          жилого дома №  22             ул. </t>
  </si>
  <si>
    <t xml:space="preserve">                                          жилого дома №  22а          ул. </t>
  </si>
  <si>
    <t xml:space="preserve">                                          жилого дома №  24          ул. </t>
  </si>
  <si>
    <t xml:space="preserve">                                          жилого дома №  26         ул. </t>
  </si>
  <si>
    <t xml:space="preserve">                                          жилого дома №  28         ул. </t>
  </si>
  <si>
    <t xml:space="preserve">                                          жилого дома №  30         ул. </t>
  </si>
  <si>
    <t xml:space="preserve">                                          жилого дома №  48         ул. </t>
  </si>
  <si>
    <t xml:space="preserve">                                          жилого дома №  50      ул. </t>
  </si>
  <si>
    <t xml:space="preserve">                                          жилого дома №  52     ул. </t>
  </si>
  <si>
    <t xml:space="preserve">                                          жилого дома №  56     ул. </t>
  </si>
  <si>
    <t xml:space="preserve">                                          жилого дома №  60    ул. </t>
  </si>
  <si>
    <t xml:space="preserve">                                          жилого дома №  62     ул. </t>
  </si>
  <si>
    <t xml:space="preserve">Председатель МКД                         </t>
  </si>
  <si>
    <t xml:space="preserve">Председатель МКД                        </t>
  </si>
  <si>
    <t xml:space="preserve">Председатель МКД                          </t>
  </si>
  <si>
    <t xml:space="preserve">Председатель  МКД                        </t>
  </si>
  <si>
    <t xml:space="preserve"> Председатель МКД                         </t>
  </si>
  <si>
    <t xml:space="preserve"> Председатель МКД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</si>
</sst>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opLeftCell="A25" workbookViewId="0">
      <selection activeCell="C33" sqref="C33"/>
    </sheetView>
  </sheetViews>
  <sheetFormatPr defaultRowHeight="30.5" customHeight="1"/>
  <cols>
    <col min="1" max="1" width="41.08984375" customWidth="1"/>
    <col min="2" max="2" width="16.36328125" customWidth="1"/>
    <col min="3" max="3" width="16.08984375" customWidth="1"/>
  </cols>
  <sheetData>
    <row r="2" spans="1:3" ht="13.5" customHeight="1">
      <c r="A2" s="1" t="s">
        <v>0</v>
      </c>
      <c r="B2" s="1"/>
      <c r="C2" s="1"/>
    </row>
    <row r="3" spans="1:3" ht="17" customHeight="1">
      <c r="A3" s="1" t="s">
        <v>1</v>
      </c>
      <c r="B3" s="1" t="s">
        <v>2</v>
      </c>
      <c r="C3" s="1"/>
    </row>
    <row r="4" spans="1:3" ht="15" customHeight="1">
      <c r="A4" s="1" t="s">
        <v>3</v>
      </c>
      <c r="B4" s="1"/>
      <c r="C4" s="1"/>
    </row>
    <row r="5" spans="1:3" ht="18.5" customHeight="1">
      <c r="A5" s="1" t="s">
        <v>4</v>
      </c>
      <c r="B5" s="1"/>
      <c r="C5" s="1"/>
    </row>
    <row r="6" spans="1:3" ht="16.5" customHeight="1">
      <c r="A6" s="1" t="s">
        <v>37</v>
      </c>
      <c r="B6" s="1"/>
      <c r="C6" s="1"/>
    </row>
    <row r="7" spans="1:3" ht="0.5" customHeight="1">
      <c r="A7" s="1"/>
      <c r="B7" s="1"/>
      <c r="C7" s="1"/>
    </row>
    <row r="8" spans="1:3" ht="24" customHeight="1">
      <c r="A8" s="1" t="s">
        <v>5</v>
      </c>
      <c r="B8" s="1" t="s">
        <v>6</v>
      </c>
      <c r="C8" s="1" t="s">
        <v>7</v>
      </c>
    </row>
    <row r="9" spans="1:3" ht="15" customHeight="1">
      <c r="A9" s="2" t="s">
        <v>8</v>
      </c>
      <c r="B9" s="1"/>
      <c r="C9" s="2">
        <v>-59033.29</v>
      </c>
    </row>
    <row r="10" spans="1:3" ht="43" customHeight="1">
      <c r="A10" s="3" t="s">
        <v>9</v>
      </c>
      <c r="B10" s="4">
        <f>C10/12</f>
        <v>34655.15</v>
      </c>
      <c r="C10" s="1">
        <v>415861.8</v>
      </c>
    </row>
    <row r="11" spans="1:3" ht="46" customHeight="1">
      <c r="A11" s="3" t="s">
        <v>10</v>
      </c>
      <c r="B11" s="4">
        <f t="shared" ref="B11:B29" si="0">C11/12</f>
        <v>9701.6908333333322</v>
      </c>
      <c r="C11" s="1">
        <f>106599.29+9821</f>
        <v>116420.29</v>
      </c>
    </row>
    <row r="12" spans="1:3" ht="23" customHeight="1">
      <c r="A12" s="2" t="s">
        <v>11</v>
      </c>
      <c r="B12" s="4">
        <f t="shared" si="0"/>
        <v>44356.840833333328</v>
      </c>
      <c r="C12" s="2">
        <f>SUM(C10:C11)</f>
        <v>532282.09</v>
      </c>
    </row>
    <row r="13" spans="1:3" ht="17" customHeight="1">
      <c r="A13" s="2" t="s">
        <v>12</v>
      </c>
      <c r="B13" s="4">
        <f t="shared" si="0"/>
        <v>0</v>
      </c>
      <c r="C13" s="1"/>
    </row>
    <row r="14" spans="1:3" ht="74.5" customHeight="1">
      <c r="A14" s="3" t="s">
        <v>13</v>
      </c>
      <c r="B14" s="4">
        <f t="shared" si="0"/>
        <v>11962.065000000001</v>
      </c>
      <c r="C14" s="1">
        <f>117502.1+26042.68</f>
        <v>143544.78</v>
      </c>
    </row>
    <row r="15" spans="1:3" ht="78.5" customHeight="1">
      <c r="A15" s="3" t="s">
        <v>14</v>
      </c>
      <c r="B15" s="4">
        <f t="shared" si="0"/>
        <v>15360.938333333334</v>
      </c>
      <c r="C15" s="1">
        <f>28858.6+155472.66</f>
        <v>184331.26</v>
      </c>
    </row>
    <row r="16" spans="1:3" ht="45" customHeight="1">
      <c r="A16" s="3" t="s">
        <v>15</v>
      </c>
      <c r="B16" s="4">
        <f t="shared" si="0"/>
        <v>0</v>
      </c>
      <c r="C16" s="1"/>
    </row>
    <row r="17" spans="1:3" ht="17.5" customHeight="1">
      <c r="A17" s="1" t="s">
        <v>16</v>
      </c>
      <c r="B17" s="4">
        <f t="shared" si="0"/>
        <v>5037.0533333333333</v>
      </c>
      <c r="C17" s="1">
        <v>60444.639999999999</v>
      </c>
    </row>
    <row r="18" spans="1:3" ht="18.5" customHeight="1">
      <c r="A18" s="1" t="s">
        <v>17</v>
      </c>
      <c r="B18" s="4">
        <f t="shared" si="0"/>
        <v>1720.5600000000002</v>
      </c>
      <c r="C18" s="1">
        <v>20646.72</v>
      </c>
    </row>
    <row r="19" spans="1:3" ht="13.5" customHeight="1">
      <c r="A19" s="1" t="s">
        <v>18</v>
      </c>
      <c r="B19" s="4">
        <f t="shared" si="0"/>
        <v>51.35</v>
      </c>
      <c r="C19" s="1">
        <v>616.20000000000005</v>
      </c>
    </row>
    <row r="20" spans="1:3" ht="14.5" customHeight="1">
      <c r="A20" s="1" t="s">
        <v>19</v>
      </c>
      <c r="B20" s="4">
        <f t="shared" si="0"/>
        <v>0</v>
      </c>
      <c r="C20" s="1"/>
    </row>
    <row r="21" spans="1:3" ht="15.5" customHeight="1">
      <c r="A21" s="1" t="s">
        <v>20</v>
      </c>
      <c r="B21" s="4">
        <f t="shared" si="0"/>
        <v>703.02666666666664</v>
      </c>
      <c r="C21" s="1">
        <v>8436.32</v>
      </c>
    </row>
    <row r="22" spans="1:3" ht="18.5" customHeight="1">
      <c r="A22" s="1" t="s">
        <v>21</v>
      </c>
      <c r="B22" s="4">
        <f t="shared" si="0"/>
        <v>1163.3525</v>
      </c>
      <c r="C22" s="1">
        <v>13960.23</v>
      </c>
    </row>
    <row r="23" spans="1:3" ht="16" customHeight="1">
      <c r="A23" s="1" t="s">
        <v>22</v>
      </c>
      <c r="B23" s="4">
        <f t="shared" si="0"/>
        <v>4064.0533333333333</v>
      </c>
      <c r="C23" s="1">
        <v>48768.639999999999</v>
      </c>
    </row>
    <row r="24" spans="1:3" ht="13.5" customHeight="1">
      <c r="A24" s="1" t="s">
        <v>23</v>
      </c>
      <c r="B24" s="4">
        <f t="shared" si="0"/>
        <v>402.03999999999996</v>
      </c>
      <c r="C24" s="1">
        <v>4824.4799999999996</v>
      </c>
    </row>
    <row r="25" spans="1:3" ht="15.5" customHeight="1">
      <c r="A25" s="1" t="s">
        <v>24</v>
      </c>
      <c r="B25" s="4">
        <f t="shared" si="0"/>
        <v>2299.1441666666665</v>
      </c>
      <c r="C25" s="1">
        <v>27589.73</v>
      </c>
    </row>
    <row r="26" spans="1:3" ht="12.5" customHeight="1">
      <c r="A26" s="1" t="s">
        <v>25</v>
      </c>
      <c r="B26" s="4">
        <f t="shared" si="0"/>
        <v>0</v>
      </c>
      <c r="C26" s="1"/>
    </row>
    <row r="27" spans="1:3" ht="16" customHeight="1">
      <c r="A27" s="1" t="s">
        <v>26</v>
      </c>
      <c r="B27" s="4">
        <f t="shared" si="0"/>
        <v>0</v>
      </c>
      <c r="C27" s="1"/>
    </row>
    <row r="28" spans="1:3" ht="14" customHeight="1">
      <c r="A28" s="1" t="s">
        <v>27</v>
      </c>
      <c r="B28" s="4">
        <f t="shared" si="0"/>
        <v>9421.5650000000005</v>
      </c>
      <c r="C28" s="1">
        <v>113058.78</v>
      </c>
    </row>
    <row r="29" spans="1:3" ht="16" customHeight="1">
      <c r="A29" s="2" t="s">
        <v>28</v>
      </c>
      <c r="B29" s="4">
        <f t="shared" si="0"/>
        <v>52185.148333333338</v>
      </c>
      <c r="C29" s="2">
        <f>SUM(C14:C28)</f>
        <v>626221.78</v>
      </c>
    </row>
    <row r="30" spans="1:3" ht="25.5" customHeight="1">
      <c r="A30" s="2" t="s">
        <v>29</v>
      </c>
      <c r="B30" s="1"/>
      <c r="C30" s="2"/>
    </row>
    <row r="31" spans="1:3" ht="25.5" customHeight="1">
      <c r="A31" s="2" t="s">
        <v>30</v>
      </c>
      <c r="B31" s="1"/>
      <c r="C31" s="2">
        <v>152972.98000000001</v>
      </c>
    </row>
    <row r="32" spans="1:3" ht="31.5" customHeight="1">
      <c r="A32" s="3" t="s">
        <v>31</v>
      </c>
      <c r="B32" s="1"/>
      <c r="C32" s="1">
        <v>104287.11</v>
      </c>
    </row>
    <row r="33" spans="1:3" ht="1" hidden="1" customHeight="1">
      <c r="A33" s="3" t="s">
        <v>32</v>
      </c>
      <c r="B33" s="1"/>
      <c r="C33" s="1"/>
    </row>
    <row r="34" spans="1:3" ht="27.5" customHeight="1">
      <c r="A34" s="2" t="s">
        <v>33</v>
      </c>
      <c r="B34" s="2"/>
      <c r="C34" s="2">
        <v>-257260.09</v>
      </c>
    </row>
    <row r="35" spans="1:3" ht="40.5" customHeight="1">
      <c r="A35" s="1" t="s">
        <v>34</v>
      </c>
      <c r="B35" s="1"/>
      <c r="C35" s="1"/>
    </row>
    <row r="36" spans="1:3" ht="41.5" customHeight="1">
      <c r="A36" s="1" t="s">
        <v>35</v>
      </c>
      <c r="B36" s="1"/>
      <c r="C36" s="1"/>
    </row>
    <row r="37" spans="1:3" ht="34" customHeight="1">
      <c r="A37" s="1" t="s">
        <v>115</v>
      </c>
      <c r="B37" s="1"/>
      <c r="C37" s="1"/>
    </row>
    <row r="38" spans="1:3" ht="30.5" customHeight="1">
      <c r="A38" s="1" t="s">
        <v>36</v>
      </c>
      <c r="B38" s="1"/>
      <c r="C38" s="1"/>
    </row>
    <row r="39" spans="1:3" ht="30.5" customHeight="1">
      <c r="A39" s="1"/>
      <c r="B39" s="1"/>
      <c r="C39" s="1"/>
    </row>
    <row r="40" spans="1:3" ht="30.5" customHeight="1">
      <c r="A40" s="1"/>
      <c r="B40" s="1"/>
      <c r="C40" s="1"/>
    </row>
    <row r="41" spans="1:3" ht="30.5" customHeight="1">
      <c r="A41" s="1"/>
      <c r="B41" s="1"/>
      <c r="C41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A37" sqref="A37"/>
    </sheetView>
  </sheetViews>
  <sheetFormatPr defaultRowHeight="14.5"/>
  <cols>
    <col min="1" max="1" width="40.36328125" customWidth="1"/>
    <col min="2" max="2" width="15.2695312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14195.93</v>
      </c>
    </row>
    <row r="9" spans="1:3" ht="47" customHeight="1">
      <c r="A9" s="3" t="s">
        <v>9</v>
      </c>
      <c r="B9" s="4">
        <f>C9/12</f>
        <v>43894.109999999993</v>
      </c>
      <c r="C9" s="1">
        <v>526729.31999999995</v>
      </c>
    </row>
    <row r="10" spans="1:3" ht="54" customHeight="1">
      <c r="A10" s="3" t="s">
        <v>10</v>
      </c>
      <c r="B10" s="4">
        <f t="shared" ref="B10:B28" si="0">C10/12</f>
        <v>1395.375</v>
      </c>
      <c r="C10" s="1">
        <v>16744.5</v>
      </c>
    </row>
    <row r="11" spans="1:3" ht="15.5">
      <c r="A11" s="2" t="s">
        <v>11</v>
      </c>
      <c r="B11" s="4">
        <f t="shared" si="0"/>
        <v>45289.484999999993</v>
      </c>
      <c r="C11" s="2">
        <f>SUM(C9:C10)</f>
        <v>543473.81999999995</v>
      </c>
    </row>
    <row r="12" spans="1:3" ht="15.5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11412.639166666666</v>
      </c>
      <c r="C13" s="1">
        <f>112105.15+24846.52</f>
        <v>136951.66999999998</v>
      </c>
    </row>
    <row r="14" spans="1:3" ht="78" customHeight="1">
      <c r="A14" s="3" t="s">
        <v>14</v>
      </c>
      <c r="B14" s="4">
        <f t="shared" si="0"/>
        <v>10251.684999999999</v>
      </c>
      <c r="C14" s="1">
        <f>39768.14+83252.08</f>
        <v>123020.22</v>
      </c>
    </row>
    <row r="15" spans="1:3" ht="63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4071.5833333333335</v>
      </c>
      <c r="C16" s="1">
        <v>48859</v>
      </c>
    </row>
    <row r="17" spans="1:3" ht="15.5">
      <c r="A17" s="1" t="s">
        <v>17</v>
      </c>
      <c r="B17" s="4">
        <f t="shared" si="0"/>
        <v>1587.55</v>
      </c>
      <c r="C17" s="1">
        <v>19050.599999999999</v>
      </c>
    </row>
    <row r="18" spans="1:3" ht="15.5">
      <c r="A18" s="1" t="s">
        <v>18</v>
      </c>
      <c r="B18" s="4">
        <f t="shared" si="0"/>
        <v>159.29999999999998</v>
      </c>
      <c r="C18" s="1">
        <v>1911.6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889.76833333333332</v>
      </c>
      <c r="C20" s="1">
        <v>10677.22</v>
      </c>
    </row>
    <row r="21" spans="1:3" ht="15.5">
      <c r="A21" s="1" t="s">
        <v>21</v>
      </c>
      <c r="B21" s="4">
        <f t="shared" si="0"/>
        <v>1186.53</v>
      </c>
      <c r="C21" s="1">
        <v>14238.36</v>
      </c>
    </row>
    <row r="22" spans="1:3" ht="15.5">
      <c r="A22" s="1" t="s">
        <v>22</v>
      </c>
      <c r="B22" s="4">
        <f t="shared" si="0"/>
        <v>3748.6924999999997</v>
      </c>
      <c r="C22" s="1">
        <v>44984.31</v>
      </c>
    </row>
    <row r="23" spans="1:3" ht="15.5">
      <c r="A23" s="1" t="s">
        <v>23</v>
      </c>
      <c r="B23" s="4">
        <f t="shared" si="0"/>
        <v>511.31750000000005</v>
      </c>
      <c r="C23" s="1">
        <v>6135.81</v>
      </c>
    </row>
    <row r="24" spans="1:3" ht="15.5">
      <c r="A24" s="1" t="s">
        <v>24</v>
      </c>
      <c r="B24" s="4">
        <f t="shared" si="0"/>
        <v>2347.4858333333336</v>
      </c>
      <c r="C24" s="1">
        <v>28169.83</v>
      </c>
    </row>
    <row r="25" spans="1:3" ht="15.5">
      <c r="A25" s="1" t="s">
        <v>25</v>
      </c>
      <c r="B25" s="4">
        <f t="shared" si="0"/>
        <v>246.67833333333331</v>
      </c>
      <c r="C25" s="1">
        <v>2960.14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9459.1416666666664</v>
      </c>
      <c r="C27" s="1">
        <v>113509.7</v>
      </c>
    </row>
    <row r="28" spans="1:3" ht="15.5">
      <c r="A28" s="2" t="s">
        <v>28</v>
      </c>
      <c r="B28" s="4">
        <f t="shared" si="0"/>
        <v>45872.371666666666</v>
      </c>
      <c r="C28" s="2">
        <f>SUM(C13:C27)</f>
        <v>550468.46</v>
      </c>
    </row>
    <row r="29" spans="1:3" ht="17.5" customHeight="1">
      <c r="A29" s="2" t="s">
        <v>29</v>
      </c>
      <c r="B29" s="1"/>
      <c r="C29" s="2">
        <v>7201.29</v>
      </c>
    </row>
    <row r="30" spans="1:3" ht="24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124180.73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-116979.44</v>
      </c>
    </row>
    <row r="34" spans="1:3" ht="29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8.5" customHeight="1">
      <c r="A36" s="1" t="s">
        <v>112</v>
      </c>
      <c r="B36" s="1"/>
      <c r="C36" s="1"/>
    </row>
    <row r="37" spans="1:3" ht="2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7" sqref="A37"/>
    </sheetView>
  </sheetViews>
  <sheetFormatPr defaultRowHeight="14.5"/>
  <cols>
    <col min="1" max="1" width="40.36328125" customWidth="1"/>
    <col min="2" max="2" width="19.54296875" customWidth="1"/>
    <col min="3" max="3" width="19" customWidth="1"/>
  </cols>
  <sheetData>
    <row r="1" spans="1:3" ht="25" customHeight="1">
      <c r="A1" s="1" t="s">
        <v>0</v>
      </c>
      <c r="B1" s="1"/>
      <c r="C1" s="1"/>
    </row>
    <row r="2" spans="1:3" ht="23.5" customHeight="1">
      <c r="A2" s="1" t="s">
        <v>49</v>
      </c>
      <c r="B2" s="1" t="s">
        <v>48</v>
      </c>
      <c r="C2" s="1"/>
    </row>
    <row r="3" spans="1:3" ht="22.5" customHeight="1">
      <c r="A3" s="1" t="s">
        <v>3</v>
      </c>
      <c r="B3" s="1"/>
      <c r="C3" s="1"/>
    </row>
    <row r="4" spans="1:3" ht="22" customHeight="1">
      <c r="A4" s="1" t="s">
        <v>4</v>
      </c>
      <c r="B4" s="1"/>
      <c r="C4" s="1"/>
    </row>
    <row r="5" spans="1:3" ht="24.5" customHeight="1">
      <c r="A5" s="1" t="s">
        <v>37</v>
      </c>
      <c r="B5" s="1"/>
      <c r="C5" s="1"/>
    </row>
    <row r="6" spans="1:3" ht="23.5" customHeight="1">
      <c r="A6" s="1"/>
      <c r="B6" s="1"/>
      <c r="C6" s="1"/>
    </row>
    <row r="7" spans="1:3" ht="25.5" customHeight="1">
      <c r="A7" s="1" t="s">
        <v>5</v>
      </c>
      <c r="B7" s="1" t="s">
        <v>6</v>
      </c>
      <c r="C7" s="1" t="s">
        <v>7</v>
      </c>
    </row>
    <row r="8" spans="1:3" ht="23.5" customHeight="1">
      <c r="A8" s="2" t="s">
        <v>8</v>
      </c>
      <c r="B8" s="1"/>
      <c r="C8" s="2">
        <v>107984.68</v>
      </c>
    </row>
    <row r="9" spans="1:3" ht="47.5" customHeight="1">
      <c r="A9" s="3" t="s">
        <v>9</v>
      </c>
      <c r="B9" s="4">
        <f>C9/12</f>
        <v>56893.767499999994</v>
      </c>
      <c r="C9" s="1">
        <v>682725.21</v>
      </c>
    </row>
    <row r="10" spans="1:3" ht="53.5" customHeight="1">
      <c r="A10" s="3" t="s">
        <v>10</v>
      </c>
      <c r="B10" s="4">
        <f t="shared" ref="B10:B28" si="0">C10/12</f>
        <v>7631.2658333333338</v>
      </c>
      <c r="C10" s="1">
        <f>71409.69+20165.5</f>
        <v>91575.19</v>
      </c>
    </row>
    <row r="11" spans="1:3" ht="28.5" customHeight="1">
      <c r="A11" s="2" t="s">
        <v>11</v>
      </c>
      <c r="B11" s="4">
        <f t="shared" si="0"/>
        <v>64525.033333333326</v>
      </c>
      <c r="C11" s="2">
        <f>SUM(C9:C10)</f>
        <v>774300.39999999991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16387.113333333335</v>
      </c>
      <c r="C13" s="1">
        <f>160968.88+35676.48</f>
        <v>196645.36000000002</v>
      </c>
    </row>
    <row r="14" spans="1:3" ht="81.5" customHeight="1">
      <c r="A14" s="3" t="s">
        <v>14</v>
      </c>
      <c r="B14" s="4">
        <f t="shared" si="0"/>
        <v>10670.865</v>
      </c>
      <c r="C14" s="1">
        <f>42959.26+85091.12</f>
        <v>128050.38</v>
      </c>
    </row>
    <row r="15" spans="1:3" ht="6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2038.8333333333333</v>
      </c>
      <c r="C16" s="1">
        <v>24466</v>
      </c>
    </row>
    <row r="17" spans="1:3" ht="15.5">
      <c r="A17" s="1" t="s">
        <v>17</v>
      </c>
      <c r="B17" s="4">
        <f t="shared" si="0"/>
        <v>2354.2999999999997</v>
      </c>
      <c r="C17" s="1">
        <v>28251.599999999999</v>
      </c>
    </row>
    <row r="18" spans="1:3" ht="15.5">
      <c r="A18" s="1" t="s">
        <v>18</v>
      </c>
      <c r="B18" s="4">
        <f t="shared" si="0"/>
        <v>219.12</v>
      </c>
      <c r="C18" s="1">
        <v>2629.44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1186.3575000000001</v>
      </c>
      <c r="C20" s="1">
        <v>14236.29</v>
      </c>
    </row>
    <row r="21" spans="1:3" ht="15.5">
      <c r="A21" s="1" t="s">
        <v>21</v>
      </c>
      <c r="B21" s="4">
        <f t="shared" si="0"/>
        <v>1668.0266666666666</v>
      </c>
      <c r="C21" s="1">
        <v>20016.32</v>
      </c>
    </row>
    <row r="22" spans="1:3" ht="15.5">
      <c r="A22" s="1" t="s">
        <v>22</v>
      </c>
      <c r="B22" s="4">
        <f t="shared" si="0"/>
        <v>5536.98</v>
      </c>
      <c r="C22" s="1">
        <v>66443.759999999995</v>
      </c>
    </row>
    <row r="23" spans="1:3" ht="15.5">
      <c r="A23" s="1" t="s">
        <v>23</v>
      </c>
      <c r="B23" s="4">
        <f t="shared" si="0"/>
        <v>949.19333333333327</v>
      </c>
      <c r="C23" s="1">
        <v>11390.32</v>
      </c>
    </row>
    <row r="24" spans="1:3" ht="15.5">
      <c r="A24" s="1" t="s">
        <v>24</v>
      </c>
      <c r="B24" s="4">
        <f t="shared" si="0"/>
        <v>3344.52</v>
      </c>
      <c r="C24" s="1">
        <v>40134.239999999998</v>
      </c>
    </row>
    <row r="25" spans="1:3" ht="15.5">
      <c r="A25" s="1" t="s">
        <v>25</v>
      </c>
      <c r="B25" s="4">
        <f t="shared" si="0"/>
        <v>366.84333333333331</v>
      </c>
      <c r="C25" s="1">
        <v>4402.12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13971.558333333334</v>
      </c>
      <c r="C27" s="1">
        <v>167658.70000000001</v>
      </c>
    </row>
    <row r="28" spans="1:3" ht="15.5">
      <c r="A28" s="2" t="s">
        <v>28</v>
      </c>
      <c r="B28" s="4">
        <f t="shared" si="0"/>
        <v>58693.710833333338</v>
      </c>
      <c r="C28" s="2">
        <f>SUM(C13:C27)</f>
        <v>704324.53</v>
      </c>
    </row>
    <row r="29" spans="1:3" ht="25" customHeight="1">
      <c r="A29" s="2" t="s">
        <v>29</v>
      </c>
      <c r="B29" s="1"/>
      <c r="C29" s="2">
        <v>177960.55</v>
      </c>
    </row>
    <row r="30" spans="1:3" ht="31" customHeight="1">
      <c r="A30" s="2" t="s">
        <v>30</v>
      </c>
      <c r="B30" s="1"/>
      <c r="C30" s="2"/>
    </row>
    <row r="31" spans="1:3" ht="71.5" customHeight="1">
      <c r="A31" s="3" t="s">
        <v>31</v>
      </c>
      <c r="B31" s="1"/>
      <c r="C31" s="1">
        <v>177539.11</v>
      </c>
    </row>
    <row r="32" spans="1:3" ht="62" hidden="1">
      <c r="A32" s="3" t="s">
        <v>32</v>
      </c>
      <c r="B32" s="1"/>
      <c r="C32" s="1"/>
    </row>
    <row r="33" spans="1:3" ht="28" customHeight="1">
      <c r="A33" s="2" t="s">
        <v>33</v>
      </c>
      <c r="B33" s="2"/>
      <c r="C33" s="2">
        <v>421.44</v>
      </c>
    </row>
    <row r="34" spans="1:3" ht="30.5" customHeight="1">
      <c r="A34" s="1" t="s">
        <v>34</v>
      </c>
      <c r="B34" s="1"/>
      <c r="C34" s="1"/>
    </row>
    <row r="35" spans="1:3" ht="28.5" customHeight="1">
      <c r="A35" s="1" t="s">
        <v>35</v>
      </c>
      <c r="B35" s="1"/>
      <c r="C35" s="1"/>
    </row>
    <row r="36" spans="1:3" ht="27.5" customHeight="1">
      <c r="A36" s="1" t="s">
        <v>110</v>
      </c>
      <c r="B36" s="1"/>
      <c r="C36" s="1"/>
    </row>
    <row r="37" spans="1:3" ht="37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A37" sqref="A37"/>
    </sheetView>
  </sheetViews>
  <sheetFormatPr defaultRowHeight="14.5"/>
  <cols>
    <col min="1" max="1" width="45.453125" customWidth="1"/>
    <col min="2" max="2" width="15.08984375" customWidth="1"/>
    <col min="3" max="3" width="15" customWidth="1"/>
  </cols>
  <sheetData>
    <row r="1" spans="1:3" ht="28" customHeight="1">
      <c r="A1" s="1" t="s">
        <v>0</v>
      </c>
      <c r="B1" s="1"/>
      <c r="C1" s="1"/>
    </row>
    <row r="2" spans="1:3" ht="13.5" customHeight="1">
      <c r="A2" s="1" t="s">
        <v>50</v>
      </c>
      <c r="B2" s="1" t="s">
        <v>48</v>
      </c>
      <c r="C2" s="1"/>
    </row>
    <row r="3" spans="1:3" ht="12.5" customHeight="1">
      <c r="A3" s="1" t="s">
        <v>3</v>
      </c>
      <c r="B3" s="1"/>
      <c r="C3" s="1"/>
    </row>
    <row r="4" spans="1:3" ht="17.5" customHeight="1">
      <c r="A4" s="1" t="s">
        <v>4</v>
      </c>
      <c r="B4" s="1"/>
      <c r="C4" s="1"/>
    </row>
    <row r="5" spans="1:3" ht="15" customHeight="1">
      <c r="A5" s="1" t="s">
        <v>37</v>
      </c>
      <c r="B5" s="1"/>
      <c r="C5" s="1"/>
    </row>
    <row r="6" spans="1:3" ht="4" customHeight="1">
      <c r="A6" s="1"/>
      <c r="B6" s="1"/>
      <c r="C6" s="1"/>
    </row>
    <row r="7" spans="1:3" ht="15" customHeight="1">
      <c r="A7" s="1" t="s">
        <v>5</v>
      </c>
      <c r="B7" s="1" t="s">
        <v>6</v>
      </c>
      <c r="C7" s="1" t="s">
        <v>7</v>
      </c>
    </row>
    <row r="8" spans="1:3" ht="16.5" customHeight="1">
      <c r="A8" s="2" t="s">
        <v>8</v>
      </c>
      <c r="B8" s="1"/>
      <c r="C8" s="2">
        <v>16006.01</v>
      </c>
    </row>
    <row r="9" spans="1:3" ht="45" customHeight="1">
      <c r="A9" s="3" t="s">
        <v>9</v>
      </c>
      <c r="B9" s="4">
        <f>C9/12</f>
        <v>63318.363333333335</v>
      </c>
      <c r="C9" s="1">
        <v>759820.36</v>
      </c>
    </row>
    <row r="10" spans="1:3" ht="45.5" customHeight="1">
      <c r="A10" s="3" t="s">
        <v>10</v>
      </c>
      <c r="B10" s="4">
        <f t="shared" ref="B10:B28" si="0">C10/12</f>
        <v>1270.1666666666667</v>
      </c>
      <c r="C10" s="1">
        <v>15242</v>
      </c>
    </row>
    <row r="11" spans="1:3" ht="21.5" customHeight="1">
      <c r="A11" s="2" t="s">
        <v>11</v>
      </c>
      <c r="B11" s="4">
        <f t="shared" si="0"/>
        <v>64588.53</v>
      </c>
      <c r="C11" s="2">
        <f>SUM(C9:C10)</f>
        <v>775062.36</v>
      </c>
    </row>
    <row r="12" spans="1:3" ht="16.5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16061.471666666666</v>
      </c>
      <c r="C13" s="1">
        <f>157770.12+34967.54</f>
        <v>192737.66</v>
      </c>
    </row>
    <row r="14" spans="1:3" ht="81.5" customHeight="1">
      <c r="A14" s="3" t="s">
        <v>14</v>
      </c>
      <c r="B14" s="4">
        <f t="shared" si="0"/>
        <v>10681.351666666667</v>
      </c>
      <c r="C14" s="1">
        <f>41909.7+86266.52</f>
        <v>128176.22</v>
      </c>
    </row>
    <row r="15" spans="1:3" ht="63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4864.1400000000003</v>
      </c>
      <c r="C16" s="1">
        <v>58369.68</v>
      </c>
    </row>
    <row r="17" spans="1:3" ht="15.5">
      <c r="A17" s="1" t="s">
        <v>17</v>
      </c>
      <c r="B17" s="4">
        <f t="shared" si="0"/>
        <v>2307.84</v>
      </c>
      <c r="C17" s="1">
        <v>27694.080000000002</v>
      </c>
    </row>
    <row r="18" spans="1:3" ht="15.5">
      <c r="A18" s="1" t="s">
        <v>18</v>
      </c>
      <c r="B18" s="4">
        <f t="shared" si="0"/>
        <v>346.30666666666667</v>
      </c>
      <c r="C18" s="1">
        <v>4155.68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1329.16</v>
      </c>
      <c r="C20" s="1">
        <v>15949.92</v>
      </c>
    </row>
    <row r="21" spans="1:3" ht="15.5">
      <c r="A21" s="1" t="s">
        <v>21</v>
      </c>
      <c r="B21" s="4">
        <f t="shared" si="0"/>
        <v>1669.0991666666666</v>
      </c>
      <c r="C21" s="1">
        <v>20029.189999999999</v>
      </c>
    </row>
    <row r="22" spans="1:3" ht="15.5">
      <c r="A22" s="1" t="s">
        <v>22</v>
      </c>
      <c r="B22" s="4">
        <f t="shared" si="0"/>
        <v>5423.1750000000002</v>
      </c>
      <c r="C22" s="1">
        <v>65078.1</v>
      </c>
    </row>
    <row r="23" spans="1:3" ht="15.5">
      <c r="A23" s="1" t="s">
        <v>23</v>
      </c>
      <c r="B23" s="4">
        <f t="shared" si="0"/>
        <v>893.47916666666663</v>
      </c>
      <c r="C23" s="1">
        <v>10721.75</v>
      </c>
    </row>
    <row r="24" spans="1:3" ht="15.5">
      <c r="A24" s="1" t="s">
        <v>24</v>
      </c>
      <c r="B24" s="4">
        <f t="shared" si="0"/>
        <v>3347.8116666666665</v>
      </c>
      <c r="C24" s="1">
        <v>40173.74</v>
      </c>
    </row>
    <row r="25" spans="1:3" ht="15.5">
      <c r="A25" s="1" t="s">
        <v>25</v>
      </c>
      <c r="B25" s="4">
        <f t="shared" si="0"/>
        <v>366.76583333333332</v>
      </c>
      <c r="C25" s="1">
        <v>4401.1899999999996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13684.391666666668</v>
      </c>
      <c r="C27" s="1">
        <v>164212.70000000001</v>
      </c>
    </row>
    <row r="28" spans="1:3" ht="14" customHeight="1">
      <c r="A28" s="2" t="s">
        <v>28</v>
      </c>
      <c r="B28" s="4">
        <f t="shared" si="0"/>
        <v>60974.992499999993</v>
      </c>
      <c r="C28" s="2">
        <f>SUM(C13:C27)</f>
        <v>731699.90999999992</v>
      </c>
    </row>
    <row r="29" spans="1:3" ht="21.5" customHeight="1">
      <c r="A29" s="2" t="s">
        <v>29</v>
      </c>
      <c r="B29" s="1"/>
      <c r="C29" s="2">
        <v>59368.46</v>
      </c>
    </row>
    <row r="30" spans="1:3" ht="2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394082.3</v>
      </c>
    </row>
    <row r="32" spans="1:3" ht="62" hidden="1">
      <c r="A32" s="3" t="s">
        <v>32</v>
      </c>
      <c r="B32" s="1"/>
      <c r="C32" s="1"/>
    </row>
    <row r="33" spans="1:3" ht="23" customHeight="1">
      <c r="A33" s="2" t="s">
        <v>33</v>
      </c>
      <c r="B33" s="2"/>
      <c r="C33" s="2">
        <v>-334713.84000000003</v>
      </c>
    </row>
    <row r="34" spans="1:3" ht="33" customHeight="1">
      <c r="A34" s="1" t="s">
        <v>34</v>
      </c>
      <c r="B34" s="1"/>
      <c r="C34" s="1"/>
    </row>
    <row r="35" spans="1:3" ht="26.5" customHeight="1">
      <c r="A35" s="1" t="s">
        <v>35</v>
      </c>
      <c r="B35" s="1"/>
      <c r="C35" s="1"/>
    </row>
    <row r="36" spans="1:3" ht="22" customHeight="1">
      <c r="A36" s="1" t="s">
        <v>112</v>
      </c>
      <c r="B36" s="1"/>
      <c r="C36" s="1"/>
    </row>
    <row r="37" spans="1:3" ht="24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7" sqref="A37"/>
    </sheetView>
  </sheetViews>
  <sheetFormatPr defaultRowHeight="14.5"/>
  <cols>
    <col min="1" max="1" width="46.08984375" customWidth="1"/>
    <col min="2" max="2" width="15.7265625" customWidth="1"/>
    <col min="3" max="3" width="14.08984375" customWidth="1"/>
  </cols>
  <sheetData>
    <row r="1" spans="1:3" ht="17" customHeight="1">
      <c r="A1" s="1" t="s">
        <v>0</v>
      </c>
      <c r="B1" s="1"/>
      <c r="C1" s="1"/>
    </row>
    <row r="2" spans="1:3" ht="15" customHeight="1">
      <c r="A2" s="1" t="s">
        <v>51</v>
      </c>
      <c r="B2" s="1" t="s">
        <v>48</v>
      </c>
      <c r="C2" s="1"/>
    </row>
    <row r="3" spans="1:3" ht="14.5" customHeight="1">
      <c r="A3" s="1" t="s">
        <v>3</v>
      </c>
      <c r="B3" s="1"/>
      <c r="C3" s="1"/>
    </row>
    <row r="4" spans="1:3" ht="12.5" customHeight="1">
      <c r="A4" s="1" t="s">
        <v>4</v>
      </c>
      <c r="B4" s="1"/>
      <c r="C4" s="1"/>
    </row>
    <row r="5" spans="1:3" ht="14" customHeight="1">
      <c r="A5" s="1" t="s">
        <v>37</v>
      </c>
      <c r="B5" s="1"/>
      <c r="C5" s="1"/>
    </row>
    <row r="6" spans="1:3" ht="7.5" customHeight="1">
      <c r="A6" s="1"/>
      <c r="B6" s="1"/>
      <c r="C6" s="1"/>
    </row>
    <row r="7" spans="1:3" ht="18.5" customHeight="1">
      <c r="A7" s="1" t="s">
        <v>5</v>
      </c>
      <c r="B7" s="1" t="s">
        <v>6</v>
      </c>
      <c r="C7" s="1" t="s">
        <v>7</v>
      </c>
    </row>
    <row r="8" spans="1:3" ht="21" customHeight="1">
      <c r="A8" s="2" t="s">
        <v>8</v>
      </c>
      <c r="B8" s="1"/>
      <c r="C8" s="2">
        <v>94519.56</v>
      </c>
    </row>
    <row r="9" spans="1:3" ht="33.5" customHeight="1">
      <c r="A9" s="3" t="s">
        <v>9</v>
      </c>
      <c r="B9" s="4">
        <f>C9/12</f>
        <v>47527.255833333329</v>
      </c>
      <c r="C9" s="1">
        <v>570327.06999999995</v>
      </c>
    </row>
    <row r="10" spans="1:3" ht="49.5" customHeight="1">
      <c r="A10" s="3" t="s">
        <v>10</v>
      </c>
      <c r="B10" s="4">
        <f t="shared" ref="B10:B28" si="0">C10/12</f>
        <v>11784.028333333334</v>
      </c>
      <c r="C10" s="1">
        <f>98192.34+43216</f>
        <v>141408.34</v>
      </c>
    </row>
    <row r="11" spans="1:3" ht="18.5" customHeight="1">
      <c r="A11" s="2" t="s">
        <v>11</v>
      </c>
      <c r="B11" s="4">
        <f t="shared" si="0"/>
        <v>59311.284166666657</v>
      </c>
      <c r="C11" s="2">
        <f>SUM(C9:C10)</f>
        <v>711735.40999999992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16960.615833333333</v>
      </c>
      <c r="C13" s="1">
        <f>166602.33+36925.06</f>
        <v>203527.38999999998</v>
      </c>
    </row>
    <row r="14" spans="1:3" ht="74.5" customHeight="1">
      <c r="A14" s="3" t="s">
        <v>14</v>
      </c>
      <c r="B14" s="4">
        <f t="shared" si="0"/>
        <v>9691.8550000000014</v>
      </c>
      <c r="C14" s="1">
        <f>45259.9+71042.36</f>
        <v>116302.26000000001</v>
      </c>
    </row>
    <row r="15" spans="1:3" ht="44" customHeight="1">
      <c r="A15" s="3" t="s">
        <v>15</v>
      </c>
      <c r="B15" s="4">
        <f t="shared" si="0"/>
        <v>0</v>
      </c>
      <c r="C15" s="1"/>
    </row>
    <row r="16" spans="1:3" ht="15" customHeight="1">
      <c r="A16" s="1" t="s">
        <v>16</v>
      </c>
      <c r="B16" s="4">
        <f t="shared" si="0"/>
        <v>2972.1666666666665</v>
      </c>
      <c r="C16" s="1">
        <v>35666</v>
      </c>
    </row>
    <row r="17" spans="1:3" ht="16" customHeight="1">
      <c r="A17" s="1" t="s">
        <v>17</v>
      </c>
      <c r="B17" s="4">
        <f t="shared" si="0"/>
        <v>2412.29</v>
      </c>
      <c r="C17" s="1">
        <v>28947.48</v>
      </c>
    </row>
    <row r="18" spans="1:3" ht="15.5">
      <c r="A18" s="1" t="s">
        <v>18</v>
      </c>
      <c r="B18" s="4">
        <f t="shared" si="0"/>
        <v>133.60999999999999</v>
      </c>
      <c r="C18" s="1">
        <v>1603.32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944.69166666666661</v>
      </c>
      <c r="C20" s="1">
        <v>11336.3</v>
      </c>
    </row>
    <row r="21" spans="1:3" ht="15.5">
      <c r="A21" s="1" t="s">
        <v>21</v>
      </c>
      <c r="B21" s="4">
        <f t="shared" si="0"/>
        <v>1805.1049999999998</v>
      </c>
      <c r="C21" s="1">
        <v>21661.26</v>
      </c>
    </row>
    <row r="22" spans="1:3" ht="15.5">
      <c r="A22" s="1" t="s">
        <v>22</v>
      </c>
      <c r="B22" s="4">
        <f t="shared" si="0"/>
        <v>5574.6516666666676</v>
      </c>
      <c r="C22" s="1">
        <v>66895.820000000007</v>
      </c>
    </row>
    <row r="23" spans="1:3" ht="15.5">
      <c r="A23" s="1" t="s">
        <v>23</v>
      </c>
      <c r="B23" s="4">
        <f t="shared" si="0"/>
        <v>626.75</v>
      </c>
      <c r="C23" s="1">
        <v>7521</v>
      </c>
    </row>
    <row r="24" spans="1:3" ht="15.5">
      <c r="A24" s="1" t="s">
        <v>24</v>
      </c>
      <c r="B24" s="4">
        <f t="shared" si="0"/>
        <v>3506.2175000000002</v>
      </c>
      <c r="C24" s="1">
        <v>42074.61</v>
      </c>
    </row>
    <row r="25" spans="1:3" ht="15.5">
      <c r="A25" s="1" t="s">
        <v>25</v>
      </c>
      <c r="B25" s="4">
        <f t="shared" si="0"/>
        <v>366.43416666666667</v>
      </c>
      <c r="C25" s="1">
        <v>4397.21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16566.616666666665</v>
      </c>
      <c r="C27" s="1">
        <v>198799.4</v>
      </c>
    </row>
    <row r="28" spans="1:3" ht="15.5">
      <c r="A28" s="2" t="s">
        <v>28</v>
      </c>
      <c r="B28" s="4">
        <f t="shared" si="0"/>
        <v>61561.004166666673</v>
      </c>
      <c r="C28" s="2">
        <f>SUM(C13:C27)</f>
        <v>738732.05</v>
      </c>
    </row>
    <row r="29" spans="1:3" ht="22" customHeight="1">
      <c r="A29" s="2" t="s">
        <v>29</v>
      </c>
      <c r="B29" s="1"/>
      <c r="C29" s="2">
        <v>67522.92</v>
      </c>
    </row>
    <row r="30" spans="1:3" ht="25.5" customHeight="1">
      <c r="A30" s="2" t="s">
        <v>30</v>
      </c>
      <c r="B30" s="1"/>
      <c r="C30" s="2"/>
    </row>
    <row r="31" spans="1:3" ht="61.5" customHeight="1">
      <c r="A31" s="3" t="s">
        <v>31</v>
      </c>
      <c r="B31" s="1"/>
      <c r="C31" s="1">
        <v>43041.49</v>
      </c>
    </row>
    <row r="32" spans="1:3" ht="62" hidden="1">
      <c r="A32" s="3" t="s">
        <v>32</v>
      </c>
      <c r="B32" s="1"/>
      <c r="C32" s="1"/>
    </row>
    <row r="33" spans="1:3" ht="25" customHeight="1">
      <c r="A33" s="2" t="s">
        <v>33</v>
      </c>
      <c r="B33" s="2"/>
      <c r="C33" s="2">
        <v>24481.43</v>
      </c>
    </row>
    <row r="34" spans="1:3" ht="29.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31.5" customHeight="1">
      <c r="A36" s="1" t="s">
        <v>113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A36" sqref="A36"/>
    </sheetView>
  </sheetViews>
  <sheetFormatPr defaultRowHeight="14.5"/>
  <cols>
    <col min="1" max="1" width="43" customWidth="1"/>
    <col min="2" max="2" width="14.54296875" customWidth="1"/>
    <col min="3" max="3" width="15.7265625" customWidth="1"/>
  </cols>
  <sheetData>
    <row r="1" spans="1:3" ht="19" customHeight="1">
      <c r="A1" s="1" t="s">
        <v>0</v>
      </c>
      <c r="B1" s="1"/>
      <c r="C1" s="1"/>
    </row>
    <row r="2" spans="1:3" ht="12.5" customHeight="1">
      <c r="A2" s="1" t="s">
        <v>52</v>
      </c>
      <c r="B2" s="1" t="s">
        <v>53</v>
      </c>
      <c r="C2" s="1"/>
    </row>
    <row r="3" spans="1:3" ht="14.5" customHeight="1">
      <c r="A3" s="1" t="s">
        <v>3</v>
      </c>
      <c r="B3" s="1"/>
      <c r="C3" s="1"/>
    </row>
    <row r="4" spans="1:3" ht="13" customHeight="1">
      <c r="A4" s="1" t="s">
        <v>4</v>
      </c>
      <c r="B4" s="1"/>
      <c r="C4" s="1"/>
    </row>
    <row r="5" spans="1:3" ht="16.5" customHeight="1">
      <c r="A5" s="1" t="s">
        <v>37</v>
      </c>
      <c r="B5" s="1"/>
      <c r="C5" s="1"/>
    </row>
    <row r="6" spans="1:3" ht="10" customHeight="1">
      <c r="A6" s="1"/>
      <c r="B6" s="1"/>
      <c r="C6" s="1"/>
    </row>
    <row r="7" spans="1:3" ht="17" customHeight="1">
      <c r="A7" s="1" t="s">
        <v>5</v>
      </c>
      <c r="B7" s="1" t="s">
        <v>6</v>
      </c>
      <c r="C7" s="1" t="s">
        <v>7</v>
      </c>
    </row>
    <row r="8" spans="1:3" ht="20.5" customHeight="1">
      <c r="A8" s="2" t="s">
        <v>8</v>
      </c>
      <c r="B8" s="1"/>
      <c r="C8" s="2">
        <v>46796.05</v>
      </c>
    </row>
    <row r="9" spans="1:3" ht="43" customHeight="1">
      <c r="A9" s="3" t="s">
        <v>9</v>
      </c>
      <c r="B9" s="4">
        <f>C9/12</f>
        <v>55508.863333333335</v>
      </c>
      <c r="C9" s="1">
        <v>666106.36</v>
      </c>
    </row>
    <row r="10" spans="1:3" ht="52.5" customHeight="1">
      <c r="A10" s="3" t="s">
        <v>10</v>
      </c>
      <c r="B10" s="4">
        <f t="shared" ref="B10:B28" si="0">C10/12</f>
        <v>2401.5300000000002</v>
      </c>
      <c r="C10" s="1">
        <f>13576.36+15242</f>
        <v>28818.36</v>
      </c>
    </row>
    <row r="11" spans="1:3" ht="18.5" customHeight="1">
      <c r="A11" s="2" t="s">
        <v>11</v>
      </c>
      <c r="B11" s="4">
        <f t="shared" si="0"/>
        <v>57910.393333333333</v>
      </c>
      <c r="C11" s="2">
        <f>SUM(C9:C10)</f>
        <v>694924.72</v>
      </c>
    </row>
    <row r="12" spans="1:3" ht="21" customHeight="1">
      <c r="A12" s="2" t="s">
        <v>12</v>
      </c>
      <c r="B12" s="4">
        <f t="shared" si="0"/>
        <v>0</v>
      </c>
      <c r="C12" s="1"/>
    </row>
    <row r="13" spans="1:3" ht="75.5" customHeight="1">
      <c r="A13" s="3" t="s">
        <v>13</v>
      </c>
      <c r="B13" s="4">
        <f t="shared" si="0"/>
        <v>15597.900833333333</v>
      </c>
      <c r="C13" s="1">
        <f>153171.37+34003.44</f>
        <v>187174.81</v>
      </c>
    </row>
    <row r="14" spans="1:3" ht="77.5">
      <c r="A14" s="3" t="s">
        <v>14</v>
      </c>
      <c r="B14" s="4">
        <f t="shared" si="0"/>
        <v>8765.7966666666671</v>
      </c>
      <c r="C14" s="1">
        <f>41408.28+63781.28</f>
        <v>105189.56</v>
      </c>
    </row>
    <row r="15" spans="1:3" ht="61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8917.5833333333339</v>
      </c>
      <c r="C16" s="1">
        <v>107011</v>
      </c>
    </row>
    <row r="17" spans="1:3" ht="15.5">
      <c r="A17" s="1" t="s">
        <v>17</v>
      </c>
      <c r="B17" s="4">
        <f t="shared" si="0"/>
        <v>2497.87</v>
      </c>
      <c r="C17" s="1">
        <v>29974.44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1296.2049999999999</v>
      </c>
      <c r="C20" s="1">
        <v>15554.46</v>
      </c>
    </row>
    <row r="21" spans="1:3" ht="15.5">
      <c r="A21" s="1" t="s">
        <v>21</v>
      </c>
      <c r="B21" s="4">
        <f t="shared" si="0"/>
        <v>1316.4291666666666</v>
      </c>
      <c r="C21" s="1">
        <v>15797.15</v>
      </c>
    </row>
    <row r="22" spans="1:3" ht="15.5">
      <c r="A22" s="1" t="s">
        <v>22</v>
      </c>
      <c r="B22" s="4">
        <f t="shared" si="0"/>
        <v>5412.9108333333334</v>
      </c>
      <c r="C22" s="1">
        <v>64954.93</v>
      </c>
    </row>
    <row r="23" spans="1:3" ht="15.5">
      <c r="A23" s="1" t="s">
        <v>23</v>
      </c>
      <c r="B23" s="4">
        <f t="shared" si="0"/>
        <v>84.704999999999998</v>
      </c>
      <c r="C23" s="1">
        <v>1016.46</v>
      </c>
    </row>
    <row r="24" spans="1:3" ht="15.5">
      <c r="A24" s="1" t="s">
        <v>24</v>
      </c>
      <c r="B24" s="4">
        <f t="shared" si="0"/>
        <v>3001.6641666666669</v>
      </c>
      <c r="C24" s="1">
        <v>36019.97</v>
      </c>
    </row>
    <row r="25" spans="1:3" ht="15.5">
      <c r="A25" s="1" t="s">
        <v>25</v>
      </c>
      <c r="B25" s="4">
        <f t="shared" si="0"/>
        <v>295.49666666666667</v>
      </c>
      <c r="C25" s="1">
        <v>3545.96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13658.4925</v>
      </c>
      <c r="C27" s="1">
        <v>163901.91</v>
      </c>
    </row>
    <row r="28" spans="1:3" ht="15.5">
      <c r="A28" s="2" t="s">
        <v>28</v>
      </c>
      <c r="B28" s="4">
        <f t="shared" si="0"/>
        <v>60845.054166666669</v>
      </c>
      <c r="C28" s="2">
        <f>SUM(C13:C27)</f>
        <v>730140.65</v>
      </c>
    </row>
    <row r="29" spans="1:3" ht="24.5" customHeight="1">
      <c r="A29" s="2" t="s">
        <v>29</v>
      </c>
      <c r="B29" s="1"/>
      <c r="C29" s="2">
        <v>11580.12</v>
      </c>
    </row>
    <row r="30" spans="1:3" ht="27" customHeight="1">
      <c r="A30" s="2" t="s">
        <v>30</v>
      </c>
      <c r="B30" s="1"/>
      <c r="C30" s="2"/>
    </row>
    <row r="31" spans="1:3" ht="43" customHeight="1">
      <c r="A31" s="3" t="s">
        <v>31</v>
      </c>
      <c r="B31" s="1"/>
      <c r="C31" s="1">
        <v>104050.58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-92470.46</v>
      </c>
    </row>
    <row r="34" spans="1:3" ht="3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27.5" customHeight="1">
      <c r="A36" s="1" t="s">
        <v>112</v>
      </c>
      <c r="B36" s="1"/>
      <c r="C36" s="1"/>
    </row>
    <row r="37" spans="1:3" ht="27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7" sqref="A37"/>
    </sheetView>
  </sheetViews>
  <sheetFormatPr defaultRowHeight="14.5"/>
  <cols>
    <col min="1" max="1" width="45.54296875" customWidth="1"/>
    <col min="2" max="2" width="17.269531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54</v>
      </c>
      <c r="B2" s="1" t="s">
        <v>53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6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-59058.59</v>
      </c>
    </row>
    <row r="9" spans="1:3" ht="47" customHeight="1">
      <c r="A9" s="3" t="s">
        <v>9</v>
      </c>
      <c r="B9" s="4">
        <f>C9/12</f>
        <v>43629.456666666665</v>
      </c>
      <c r="C9" s="1">
        <v>523553.48</v>
      </c>
    </row>
    <row r="10" spans="1:3" ht="49" customHeight="1">
      <c r="A10" s="3" t="s">
        <v>10</v>
      </c>
      <c r="B10" s="4">
        <f t="shared" ref="B10:B28" si="0">C10/12</f>
        <v>366.66666666666669</v>
      </c>
      <c r="C10" s="1">
        <v>4400</v>
      </c>
    </row>
    <row r="11" spans="1:3" ht="20" customHeight="1">
      <c r="A11" s="2" t="s">
        <v>11</v>
      </c>
      <c r="B11" s="4">
        <f t="shared" si="0"/>
        <v>43996.123333333329</v>
      </c>
      <c r="C11" s="2">
        <f>SUM(C9:C10)</f>
        <v>527953.48</v>
      </c>
    </row>
    <row r="12" spans="1:3" ht="18" customHeight="1">
      <c r="A12" s="2" t="s">
        <v>12</v>
      </c>
      <c r="B12" s="4">
        <f t="shared" si="0"/>
        <v>0</v>
      </c>
      <c r="C12" s="1"/>
    </row>
    <row r="13" spans="1:3" ht="74.5" customHeight="1">
      <c r="A13" s="3" t="s">
        <v>13</v>
      </c>
      <c r="B13" s="4">
        <f t="shared" si="0"/>
        <v>11123.1</v>
      </c>
      <c r="C13" s="1">
        <f>109228.84+24248.36</f>
        <v>133477.20000000001</v>
      </c>
    </row>
    <row r="14" spans="1:3" ht="77.5">
      <c r="A14" s="3" t="s">
        <v>14</v>
      </c>
      <c r="B14" s="4">
        <f t="shared" si="0"/>
        <v>6331.5066666666671</v>
      </c>
      <c r="C14" s="1">
        <f>35795.82+40182.26</f>
        <v>75978.080000000002</v>
      </c>
    </row>
    <row r="15" spans="1:3" ht="45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10730.25</v>
      </c>
      <c r="C16" s="1">
        <v>128763</v>
      </c>
    </row>
    <row r="17" spans="1:3" ht="15.5">
      <c r="A17" s="1" t="s">
        <v>17</v>
      </c>
      <c r="B17" s="4">
        <f t="shared" si="0"/>
        <v>1776.14</v>
      </c>
      <c r="C17" s="1">
        <v>21313.68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1098.4791666666667</v>
      </c>
      <c r="C20" s="1">
        <v>13181.75</v>
      </c>
    </row>
    <row r="21" spans="1:3" ht="15.5">
      <c r="A21" s="1" t="s">
        <v>21</v>
      </c>
      <c r="B21" s="4">
        <f t="shared" si="0"/>
        <v>1122.44</v>
      </c>
      <c r="C21" s="1">
        <v>13469.28</v>
      </c>
    </row>
    <row r="22" spans="1:3" ht="15.5">
      <c r="A22" s="1" t="s">
        <v>22</v>
      </c>
      <c r="B22" s="4">
        <f t="shared" si="0"/>
        <v>3781.74</v>
      </c>
      <c r="C22" s="1">
        <v>45380.88</v>
      </c>
    </row>
    <row r="23" spans="1:3" ht="15.5">
      <c r="A23" s="1" t="s">
        <v>23</v>
      </c>
      <c r="B23" s="4">
        <f t="shared" si="0"/>
        <v>247.6575</v>
      </c>
      <c r="C23" s="1">
        <v>2971.89</v>
      </c>
    </row>
    <row r="24" spans="1:3" ht="15.5">
      <c r="A24" s="1" t="s">
        <v>24</v>
      </c>
      <c r="B24" s="4">
        <f t="shared" si="0"/>
        <v>2280.4466666666667</v>
      </c>
      <c r="C24" s="1">
        <v>27365.360000000001</v>
      </c>
    </row>
    <row r="25" spans="1:3" ht="15.5">
      <c r="A25" s="1" t="s">
        <v>25</v>
      </c>
      <c r="B25" s="4">
        <f t="shared" si="0"/>
        <v>249.21250000000001</v>
      </c>
      <c r="C25" s="1">
        <v>2990.55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9542.5308333333323</v>
      </c>
      <c r="C27" s="1">
        <v>114510.37</v>
      </c>
    </row>
    <row r="28" spans="1:3" ht="15.5">
      <c r="A28" s="2" t="s">
        <v>28</v>
      </c>
      <c r="B28" s="4">
        <f t="shared" si="0"/>
        <v>48283.503333333334</v>
      </c>
      <c r="C28" s="2">
        <f>SUM(C13:C27)</f>
        <v>579402.04</v>
      </c>
    </row>
    <row r="29" spans="1:3" ht="23.5" customHeight="1">
      <c r="A29" s="2" t="s">
        <v>29</v>
      </c>
      <c r="B29" s="1"/>
      <c r="C29" s="2"/>
    </row>
    <row r="30" spans="1:3" ht="35.5" customHeight="1">
      <c r="A30" s="2" t="s">
        <v>30</v>
      </c>
      <c r="B30" s="1"/>
      <c r="C30" s="2">
        <v>110507.15</v>
      </c>
    </row>
    <row r="31" spans="1:3" ht="31">
      <c r="A31" s="3" t="s">
        <v>31</v>
      </c>
      <c r="B31" s="1"/>
      <c r="C31" s="1">
        <v>97567.08</v>
      </c>
    </row>
    <row r="32" spans="1:3" ht="1" customHeight="1">
      <c r="A32" s="3" t="s">
        <v>32</v>
      </c>
      <c r="B32" s="1"/>
      <c r="C32" s="1">
        <v>-208074.23999999999</v>
      </c>
    </row>
    <row r="33" spans="1:3" ht="15.5">
      <c r="A33" s="2" t="s">
        <v>33</v>
      </c>
      <c r="B33" s="2"/>
      <c r="C33" s="2">
        <v>-208074.23</v>
      </c>
    </row>
    <row r="34" spans="1:3" ht="33.5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4" customHeight="1">
      <c r="A36" s="1" t="s">
        <v>112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A34" sqref="A34"/>
    </sheetView>
  </sheetViews>
  <sheetFormatPr defaultRowHeight="14.5"/>
  <cols>
    <col min="1" max="1" width="45.08984375" customWidth="1"/>
    <col min="2" max="2" width="16.453125" customWidth="1"/>
    <col min="3" max="3" width="16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55</v>
      </c>
      <c r="B2" s="1" t="s">
        <v>56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27.5" customHeight="1">
      <c r="A7" s="1" t="s">
        <v>5</v>
      </c>
      <c r="B7" s="1" t="s">
        <v>6</v>
      </c>
      <c r="C7" s="1" t="s">
        <v>7</v>
      </c>
    </row>
    <row r="8" spans="1:3" ht="18" customHeight="1">
      <c r="A8" s="2" t="s">
        <v>8</v>
      </c>
      <c r="B8" s="1"/>
      <c r="C8" s="2">
        <v>75590.179999999993</v>
      </c>
    </row>
    <row r="9" spans="1:3" ht="44.5" customHeight="1">
      <c r="A9" s="3" t="s">
        <v>9</v>
      </c>
      <c r="B9" s="4">
        <f>C9/12</f>
        <v>165616.61666666667</v>
      </c>
      <c r="C9" s="1">
        <v>1987399.4</v>
      </c>
    </row>
    <row r="10" spans="1:3" ht="47.5" customHeight="1">
      <c r="A10" s="3" t="s">
        <v>10</v>
      </c>
      <c r="B10" s="4">
        <f t="shared" ref="B10:B28" si="0">C10/12</f>
        <v>6190.5</v>
      </c>
      <c r="C10" s="1">
        <v>74286</v>
      </c>
    </row>
    <row r="11" spans="1:3" ht="20" customHeight="1">
      <c r="A11" s="2" t="s">
        <v>11</v>
      </c>
      <c r="B11" s="4">
        <f t="shared" si="0"/>
        <v>171807.11666666667</v>
      </c>
      <c r="C11" s="2">
        <f>SUM(C9:C10)</f>
        <v>2061685.4</v>
      </c>
    </row>
    <row r="12" spans="1:3" ht="12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34562.023333333331</v>
      </c>
      <c r="C13" s="1">
        <f>339499.1+75245.18</f>
        <v>414744.27999999997</v>
      </c>
    </row>
    <row r="14" spans="1:3" ht="77.5">
      <c r="A14" s="3" t="s">
        <v>14</v>
      </c>
      <c r="B14" s="4">
        <f t="shared" si="0"/>
        <v>21501.866666666669</v>
      </c>
      <c r="C14" s="1">
        <f>165391.2+92631.2</f>
        <v>258022.40000000002</v>
      </c>
    </row>
    <row r="15" spans="1:3" ht="62">
      <c r="A15" s="3" t="s">
        <v>15</v>
      </c>
      <c r="B15" s="4">
        <f t="shared" si="0"/>
        <v>5326.8833333333332</v>
      </c>
      <c r="C15" s="1">
        <v>63922.6</v>
      </c>
    </row>
    <row r="16" spans="1:3" ht="15.5">
      <c r="A16" s="1" t="s">
        <v>16</v>
      </c>
      <c r="B16" s="4">
        <f t="shared" si="0"/>
        <v>13247.583333333334</v>
      </c>
      <c r="C16" s="1">
        <v>158971</v>
      </c>
    </row>
    <row r="17" spans="1:3" ht="15.5">
      <c r="A17" s="1" t="s">
        <v>17</v>
      </c>
      <c r="B17" s="4">
        <f t="shared" si="0"/>
        <v>4625.8599999999997</v>
      </c>
      <c r="C17" s="1">
        <v>55510.32</v>
      </c>
    </row>
    <row r="18" spans="1:3" ht="15.5">
      <c r="A18" s="1" t="s">
        <v>18</v>
      </c>
      <c r="B18" s="4">
        <f t="shared" si="0"/>
        <v>385.02</v>
      </c>
      <c r="C18" s="1">
        <v>4620.24</v>
      </c>
    </row>
    <row r="19" spans="1:3" ht="15.5">
      <c r="A19" s="1" t="s">
        <v>19</v>
      </c>
      <c r="B19" s="4">
        <f t="shared" si="0"/>
        <v>21463.64</v>
      </c>
      <c r="C19" s="1">
        <v>257563.68</v>
      </c>
    </row>
    <row r="20" spans="1:3" ht="15.5">
      <c r="A20" s="1" t="s">
        <v>20</v>
      </c>
      <c r="B20" s="4">
        <f t="shared" si="0"/>
        <v>1801.5058333333334</v>
      </c>
      <c r="C20" s="1">
        <v>21618.07</v>
      </c>
    </row>
    <row r="21" spans="1:3" ht="15.5">
      <c r="A21" s="1" t="s">
        <v>21</v>
      </c>
      <c r="B21" s="4">
        <f t="shared" si="0"/>
        <v>4559.0824999999995</v>
      </c>
      <c r="C21" s="1">
        <v>54708.99</v>
      </c>
    </row>
    <row r="22" spans="1:3" ht="15.5">
      <c r="A22" s="1" t="s">
        <v>22</v>
      </c>
      <c r="B22" s="4">
        <f t="shared" si="0"/>
        <v>10872.741666666667</v>
      </c>
      <c r="C22" s="1">
        <v>130472.9</v>
      </c>
    </row>
    <row r="23" spans="1:3" ht="15.5">
      <c r="A23" s="1" t="s">
        <v>23</v>
      </c>
      <c r="B23" s="4">
        <f t="shared" si="0"/>
        <v>177.38333333333333</v>
      </c>
      <c r="C23" s="1">
        <v>2128.6</v>
      </c>
    </row>
    <row r="24" spans="1:3" ht="15.5">
      <c r="A24" s="1" t="s">
        <v>24</v>
      </c>
      <c r="B24" s="4">
        <f t="shared" si="0"/>
        <v>8905.2624999999989</v>
      </c>
      <c r="C24" s="1">
        <v>106863.15</v>
      </c>
    </row>
    <row r="25" spans="1:3" ht="15.5">
      <c r="A25" s="1" t="s">
        <v>25</v>
      </c>
      <c r="B25" s="4">
        <f t="shared" si="0"/>
        <v>245.54999999999998</v>
      </c>
      <c r="C25" s="1">
        <v>2946.6</v>
      </c>
    </row>
    <row r="26" spans="1:3" ht="15.5">
      <c r="A26" s="1" t="s">
        <v>26</v>
      </c>
      <c r="B26" s="4">
        <f t="shared" si="0"/>
        <v>1000</v>
      </c>
      <c r="C26" s="1">
        <v>12000</v>
      </c>
    </row>
    <row r="27" spans="1:3" ht="15.5">
      <c r="A27" s="1" t="s">
        <v>27</v>
      </c>
      <c r="B27" s="4">
        <f t="shared" si="0"/>
        <v>30518.715</v>
      </c>
      <c r="C27" s="1">
        <v>366224.58</v>
      </c>
    </row>
    <row r="28" spans="1:3" ht="15.5">
      <c r="A28" s="2" t="s">
        <v>28</v>
      </c>
      <c r="B28" s="4">
        <f t="shared" si="0"/>
        <v>159193.11749999999</v>
      </c>
      <c r="C28" s="2">
        <f>SUM(C13:C27)</f>
        <v>1910317.41</v>
      </c>
    </row>
    <row r="29" spans="1:3" ht="15.5">
      <c r="A29" s="2" t="s">
        <v>29</v>
      </c>
      <c r="B29" s="1"/>
      <c r="C29" s="2">
        <v>226958.17</v>
      </c>
    </row>
    <row r="30" spans="1:3" ht="15.5">
      <c r="A30" s="2" t="s">
        <v>30</v>
      </c>
      <c r="B30" s="1"/>
      <c r="C30" s="2"/>
    </row>
    <row r="31" spans="1:3" ht="31">
      <c r="A31" s="3" t="s">
        <v>31</v>
      </c>
      <c r="B31" s="1"/>
      <c r="C31" s="1">
        <v>200382.01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26576.16</v>
      </c>
    </row>
    <row r="34" spans="1:3" ht="15.5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111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A37" sqref="A37"/>
    </sheetView>
  </sheetViews>
  <sheetFormatPr defaultRowHeight="14.5"/>
  <cols>
    <col min="1" max="1" width="42.08984375" customWidth="1"/>
    <col min="2" max="2" width="14.7265625" customWidth="1"/>
    <col min="3" max="3" width="12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57</v>
      </c>
      <c r="B2" s="1" t="s">
        <v>56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8" customHeight="1">
      <c r="A8" s="2" t="s">
        <v>8</v>
      </c>
      <c r="B8" s="1"/>
      <c r="C8" s="2">
        <v>-15435.61</v>
      </c>
    </row>
    <row r="9" spans="1:3" ht="47" customHeight="1">
      <c r="A9" s="3" t="s">
        <v>9</v>
      </c>
      <c r="B9" s="4">
        <f>C9/12</f>
        <v>118508.40083333333</v>
      </c>
      <c r="C9" s="1">
        <v>1422100.81</v>
      </c>
    </row>
    <row r="10" spans="1:3" ht="44" customHeight="1">
      <c r="A10" s="3" t="s">
        <v>10</v>
      </c>
      <c r="B10" s="4">
        <f t="shared" ref="B10:B28" si="0">C10/12</f>
        <v>4612.833333333333</v>
      </c>
      <c r="C10" s="1">
        <v>55354</v>
      </c>
    </row>
    <row r="11" spans="1:3" ht="15" customHeight="1">
      <c r="A11" s="2" t="s">
        <v>11</v>
      </c>
      <c r="B11" s="4">
        <f t="shared" si="0"/>
        <v>123121.23416666668</v>
      </c>
      <c r="C11" s="2">
        <f>SUM(C9:C10)</f>
        <v>1477454.81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24027.845833333336</v>
      </c>
      <c r="C13" s="1">
        <f>236022.99+52311.16</f>
        <v>288334.15000000002</v>
      </c>
    </row>
    <row r="14" spans="1:3" ht="77.5">
      <c r="A14" s="3" t="s">
        <v>14</v>
      </c>
      <c r="B14" s="4">
        <f t="shared" si="0"/>
        <v>17010.068333333333</v>
      </c>
      <c r="C14" s="1">
        <f>81455.16+122665.66</f>
        <v>204120.82</v>
      </c>
    </row>
    <row r="15" spans="1:3" ht="62">
      <c r="A15" s="3" t="s">
        <v>15</v>
      </c>
      <c r="B15" s="4">
        <f t="shared" si="0"/>
        <v>9588.39</v>
      </c>
      <c r="C15" s="1">
        <v>115060.68</v>
      </c>
    </row>
    <row r="16" spans="1:3" ht="15.5">
      <c r="A16" s="1" t="s">
        <v>16</v>
      </c>
      <c r="B16" s="4">
        <f t="shared" si="0"/>
        <v>9668.1666666666661</v>
      </c>
      <c r="C16" s="1">
        <v>116018</v>
      </c>
    </row>
    <row r="17" spans="1:3" ht="15.5">
      <c r="A17" s="1" t="s">
        <v>17</v>
      </c>
      <c r="B17" s="4">
        <f t="shared" si="0"/>
        <v>3364.9</v>
      </c>
      <c r="C17" s="1">
        <v>40378.800000000003</v>
      </c>
    </row>
    <row r="18" spans="1:3" ht="15.5">
      <c r="A18" s="1" t="s">
        <v>18</v>
      </c>
      <c r="B18" s="4">
        <f t="shared" si="0"/>
        <v>281.70999999999998</v>
      </c>
      <c r="C18" s="1">
        <v>3380.52</v>
      </c>
    </row>
    <row r="19" spans="1:3" ht="15.5">
      <c r="A19" s="1" t="s">
        <v>19</v>
      </c>
      <c r="B19" s="4">
        <f t="shared" si="0"/>
        <v>15630.49</v>
      </c>
      <c r="C19" s="1">
        <v>187565.88</v>
      </c>
    </row>
    <row r="20" spans="1:3" ht="15.5">
      <c r="A20" s="1" t="s">
        <v>20</v>
      </c>
      <c r="B20" s="4">
        <f t="shared" si="0"/>
        <v>1384.0833333333333</v>
      </c>
      <c r="C20" s="1">
        <v>16609</v>
      </c>
    </row>
    <row r="21" spans="1:3" ht="15.5">
      <c r="A21" s="1" t="s">
        <v>21</v>
      </c>
      <c r="B21" s="4">
        <f t="shared" si="0"/>
        <v>3265.9549999999999</v>
      </c>
      <c r="C21" s="1">
        <v>39191.46</v>
      </c>
    </row>
    <row r="22" spans="1:3" ht="15.5">
      <c r="A22" s="1" t="s">
        <v>22</v>
      </c>
      <c r="B22" s="4">
        <f t="shared" si="0"/>
        <v>7917.8666666666659</v>
      </c>
      <c r="C22" s="1">
        <v>95014.399999999994</v>
      </c>
    </row>
    <row r="23" spans="1:3" ht="15.5">
      <c r="A23" s="1" t="s">
        <v>23</v>
      </c>
      <c r="B23" s="4">
        <f t="shared" si="0"/>
        <v>84.26166666666667</v>
      </c>
      <c r="C23" s="1">
        <v>1011.14</v>
      </c>
    </row>
    <row r="24" spans="1:3" ht="15.5">
      <c r="A24" s="1" t="s">
        <v>24</v>
      </c>
      <c r="B24" s="4">
        <f t="shared" si="0"/>
        <v>6381.7316666666666</v>
      </c>
      <c r="C24" s="1">
        <v>76580.78</v>
      </c>
    </row>
    <row r="25" spans="1:3" ht="15.5">
      <c r="A25" s="1" t="s">
        <v>25</v>
      </c>
      <c r="B25" s="4">
        <f t="shared" si="0"/>
        <v>181.01</v>
      </c>
      <c r="C25" s="1">
        <v>2172.12</v>
      </c>
    </row>
    <row r="26" spans="1:3" ht="15.5">
      <c r="A26" s="1" t="s">
        <v>26</v>
      </c>
      <c r="B26" s="4">
        <f t="shared" si="0"/>
        <v>3437.1224999999999</v>
      </c>
      <c r="C26" s="1">
        <v>41245.47</v>
      </c>
    </row>
    <row r="27" spans="1:3" ht="15.5">
      <c r="A27" s="1" t="s">
        <v>27</v>
      </c>
      <c r="B27" s="4">
        <f t="shared" si="0"/>
        <v>19979.291666666668</v>
      </c>
      <c r="C27" s="1">
        <v>239751.5</v>
      </c>
    </row>
    <row r="28" spans="1:3" ht="15.5">
      <c r="A28" s="2" t="s">
        <v>28</v>
      </c>
      <c r="B28" s="4">
        <f t="shared" si="0"/>
        <v>122202.89333333333</v>
      </c>
      <c r="C28" s="2">
        <f>SUM(C13:C27)</f>
        <v>1466434.72</v>
      </c>
    </row>
    <row r="29" spans="1:3" ht="26.5" customHeight="1">
      <c r="A29" s="2" t="s">
        <v>29</v>
      </c>
      <c r="B29" s="1"/>
      <c r="C29" s="2"/>
    </row>
    <row r="30" spans="1:3" ht="28.5" customHeight="1">
      <c r="A30" s="2" t="s">
        <v>30</v>
      </c>
      <c r="B30" s="1"/>
      <c r="C30" s="2">
        <v>4415.5200000000004</v>
      </c>
    </row>
    <row r="31" spans="1:3" ht="42.5" customHeight="1">
      <c r="A31" s="3" t="s">
        <v>31</v>
      </c>
      <c r="B31" s="1"/>
      <c r="C31" s="1">
        <v>216357.78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-220773.3</v>
      </c>
    </row>
    <row r="34" spans="1:3" ht="30.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5.5">
      <c r="A36" s="1" t="s">
        <v>111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A37" sqref="A37"/>
    </sheetView>
  </sheetViews>
  <sheetFormatPr defaultRowHeight="14.5"/>
  <cols>
    <col min="1" max="1" width="45.26953125" customWidth="1"/>
    <col min="2" max="2" width="14.7265625" customWidth="1"/>
    <col min="3" max="3" width="15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58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8.5" customHeight="1">
      <c r="A6" s="1"/>
      <c r="B6" s="1"/>
      <c r="C6" s="1"/>
    </row>
    <row r="7" spans="1:3" ht="13" customHeight="1">
      <c r="A7" s="1" t="s">
        <v>5</v>
      </c>
      <c r="B7" s="1" t="s">
        <v>6</v>
      </c>
      <c r="C7" s="1" t="s">
        <v>7</v>
      </c>
    </row>
    <row r="8" spans="1:3" ht="16.5" customHeight="1">
      <c r="A8" s="2" t="s">
        <v>8</v>
      </c>
      <c r="B8" s="1"/>
      <c r="C8" s="2">
        <v>-150071.15</v>
      </c>
    </row>
    <row r="9" spans="1:3" ht="49" customHeight="1">
      <c r="A9" s="3" t="s">
        <v>9</v>
      </c>
      <c r="B9" s="4">
        <f>C9/12</f>
        <v>51029.714999999997</v>
      </c>
      <c r="C9" s="1">
        <v>612356.57999999996</v>
      </c>
    </row>
    <row r="10" spans="1:3" ht="47" customHeight="1">
      <c r="A10" s="3" t="s">
        <v>10</v>
      </c>
      <c r="B10" s="4">
        <f t="shared" ref="B10:B28" si="0">C10/12</f>
        <v>10286.130833333335</v>
      </c>
      <c r="C10" s="1">
        <f>94334.57+29099</f>
        <v>123433.57</v>
      </c>
    </row>
    <row r="11" spans="1:3" ht="18" customHeight="1">
      <c r="A11" s="2" t="s">
        <v>11</v>
      </c>
      <c r="B11" s="4">
        <f t="shared" si="0"/>
        <v>61315.845833333326</v>
      </c>
      <c r="C11" s="2">
        <f>SUM(C9:C10)</f>
        <v>735790.14999999991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15220.663333333332</v>
      </c>
      <c r="C13" s="1">
        <f>149510.96+33137</f>
        <v>182647.96</v>
      </c>
    </row>
    <row r="14" spans="1:3" ht="81" customHeight="1">
      <c r="A14" s="3" t="s">
        <v>14</v>
      </c>
      <c r="B14" s="4">
        <f t="shared" si="0"/>
        <v>15220.618333333332</v>
      </c>
      <c r="C14" s="1">
        <f>45408.36+137239.06</f>
        <v>182647.41999999998</v>
      </c>
    </row>
    <row r="15" spans="1:3" ht="48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3658.4166666666665</v>
      </c>
      <c r="C16" s="1">
        <v>43901</v>
      </c>
    </row>
    <row r="17" spans="1:3" ht="15.5">
      <c r="A17" s="1" t="s">
        <v>17</v>
      </c>
      <c r="B17" s="4">
        <f t="shared" si="0"/>
        <v>2160.96</v>
      </c>
      <c r="C17" s="1">
        <v>25931.52</v>
      </c>
    </row>
    <row r="18" spans="1:3" ht="15.5">
      <c r="A18" s="1" t="s">
        <v>18</v>
      </c>
      <c r="B18" s="4">
        <f t="shared" si="0"/>
        <v>209.35</v>
      </c>
      <c r="C18" s="1">
        <v>2512.1999999999998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878.7833333333333</v>
      </c>
      <c r="C20" s="1">
        <v>10545.4</v>
      </c>
    </row>
    <row r="21" spans="1:3" ht="15.5">
      <c r="A21" s="1" t="s">
        <v>21</v>
      </c>
      <c r="B21" s="4">
        <f t="shared" si="0"/>
        <v>1493.7591666666667</v>
      </c>
      <c r="C21" s="1">
        <v>17925.11</v>
      </c>
    </row>
    <row r="22" spans="1:3" ht="15.5">
      <c r="A22" s="1" t="s">
        <v>22</v>
      </c>
      <c r="B22" s="4">
        <f t="shared" si="0"/>
        <v>5078.4883333333337</v>
      </c>
      <c r="C22" s="1">
        <v>60941.86</v>
      </c>
    </row>
    <row r="23" spans="1:3" ht="15.5">
      <c r="A23" s="1" t="s">
        <v>23</v>
      </c>
      <c r="B23" s="4">
        <f t="shared" si="0"/>
        <v>132.65166666666667</v>
      </c>
      <c r="C23" s="1">
        <v>1591.82</v>
      </c>
    </row>
    <row r="24" spans="1:3" ht="15.5">
      <c r="A24" s="1" t="s">
        <v>24</v>
      </c>
      <c r="B24" s="4">
        <f t="shared" si="0"/>
        <v>3005.4025000000001</v>
      </c>
      <c r="C24" s="1">
        <v>36064.83</v>
      </c>
    </row>
    <row r="25" spans="1:3" ht="15.5">
      <c r="A25" s="1" t="s">
        <v>25</v>
      </c>
      <c r="B25" s="4">
        <f t="shared" si="0"/>
        <v>224.27666666666667</v>
      </c>
      <c r="C25" s="1">
        <v>2691.32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11981.305</v>
      </c>
      <c r="C27" s="1">
        <v>143775.66</v>
      </c>
    </row>
    <row r="28" spans="1:3" ht="15.5">
      <c r="A28" s="2" t="s">
        <v>28</v>
      </c>
      <c r="B28" s="4">
        <f t="shared" si="0"/>
        <v>59264.674999999996</v>
      </c>
      <c r="C28" s="2">
        <f>SUM(C13:C27)</f>
        <v>711176.1</v>
      </c>
    </row>
    <row r="29" spans="1:3" ht="22.5" customHeight="1">
      <c r="A29" s="2" t="s">
        <v>29</v>
      </c>
      <c r="B29" s="1"/>
      <c r="C29" s="2"/>
    </row>
    <row r="30" spans="1:3" ht="26.5" customHeight="1">
      <c r="A30" s="2" t="s">
        <v>30</v>
      </c>
      <c r="B30" s="1"/>
      <c r="C30" s="2">
        <v>125457.1</v>
      </c>
    </row>
    <row r="31" spans="1:3" ht="35.5" customHeight="1">
      <c r="A31" s="3" t="s">
        <v>31</v>
      </c>
      <c r="B31" s="1"/>
      <c r="C31" s="1">
        <v>18730.93</v>
      </c>
    </row>
    <row r="32" spans="1:3" ht="2" customHeight="1">
      <c r="A32" s="3" t="s">
        <v>32</v>
      </c>
      <c r="B32" s="1"/>
      <c r="C32" s="1"/>
    </row>
    <row r="33" spans="1:3" ht="27.5" customHeight="1">
      <c r="A33" s="2" t="s">
        <v>33</v>
      </c>
      <c r="B33" s="2"/>
      <c r="C33" s="2">
        <v>-144188.03</v>
      </c>
    </row>
    <row r="34" spans="1:3" ht="46.5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24" customHeight="1">
      <c r="A36" s="1" t="s">
        <v>115</v>
      </c>
      <c r="B36" s="1"/>
      <c r="C36" s="1"/>
    </row>
    <row r="37" spans="1:3" ht="29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C34" sqref="C34"/>
    </sheetView>
  </sheetViews>
  <sheetFormatPr defaultRowHeight="14.5"/>
  <cols>
    <col min="1" max="1" width="44.54296875" customWidth="1"/>
    <col min="2" max="2" width="14.90625" customWidth="1"/>
    <col min="3" max="3" width="14" customWidth="1"/>
  </cols>
  <sheetData>
    <row r="1" spans="1:3" ht="15.5">
      <c r="A1" s="1" t="s">
        <v>0</v>
      </c>
      <c r="B1" s="1"/>
      <c r="C1" s="1"/>
    </row>
    <row r="2" spans="1:3" ht="15.5">
      <c r="A2" s="1" t="s">
        <v>60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7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-158684.25</v>
      </c>
    </row>
    <row r="9" spans="1:3" ht="48.5" customHeight="1">
      <c r="A9" s="3" t="s">
        <v>9</v>
      </c>
      <c r="B9" s="4">
        <f>C9/12</f>
        <v>69989.263333333336</v>
      </c>
      <c r="C9" s="1">
        <v>839871.16</v>
      </c>
    </row>
    <row r="10" spans="1:3" ht="44.5" customHeight="1">
      <c r="A10" s="3" t="s">
        <v>10</v>
      </c>
      <c r="B10" s="4">
        <f t="shared" ref="B10:B28" si="0">C10/12</f>
        <v>14510.576666666668</v>
      </c>
      <c r="C10" s="1">
        <v>174126.92</v>
      </c>
    </row>
    <row r="11" spans="1:3" ht="22.5" customHeight="1">
      <c r="A11" s="2" t="s">
        <v>11</v>
      </c>
      <c r="B11" s="4">
        <f t="shared" si="0"/>
        <v>84499.840000000011</v>
      </c>
      <c r="C11" s="2">
        <f>SUM(C9:C10)</f>
        <v>1013998.0800000001</v>
      </c>
    </row>
    <row r="12" spans="1:3" ht="17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16769.893333333333</v>
      </c>
      <c r="C13" s="1">
        <v>201238.72</v>
      </c>
    </row>
    <row r="14" spans="1:3" ht="77.5">
      <c r="A14" s="3" t="s">
        <v>14</v>
      </c>
      <c r="B14" s="4">
        <f t="shared" si="0"/>
        <v>15981.553333333335</v>
      </c>
      <c r="C14" s="1">
        <v>191778.64</v>
      </c>
    </row>
    <row r="15" spans="1:3" ht="62">
      <c r="A15" s="3" t="s">
        <v>15</v>
      </c>
      <c r="B15" s="4">
        <f t="shared" si="0"/>
        <v>5935.6699999999992</v>
      </c>
      <c r="C15" s="1">
        <v>71228.039999999994</v>
      </c>
    </row>
    <row r="16" spans="1:3" ht="15.5">
      <c r="A16" s="1" t="s">
        <v>16</v>
      </c>
      <c r="B16" s="4">
        <f t="shared" si="0"/>
        <v>7516.583333333333</v>
      </c>
      <c r="C16" s="1">
        <v>90199</v>
      </c>
    </row>
    <row r="17" spans="1:3" ht="15.5">
      <c r="A17" s="1" t="s">
        <v>17</v>
      </c>
      <c r="B17" s="4">
        <f t="shared" si="0"/>
        <v>2162.88</v>
      </c>
      <c r="C17" s="1">
        <v>25954.560000000001</v>
      </c>
    </row>
    <row r="18" spans="1:3" ht="15.5">
      <c r="A18" s="1" t="s">
        <v>18</v>
      </c>
      <c r="B18" s="4">
        <f t="shared" si="0"/>
        <v>91.19</v>
      </c>
      <c r="C18" s="1">
        <v>1094.28</v>
      </c>
    </row>
    <row r="19" spans="1:3" ht="15.5">
      <c r="A19" s="1" t="s">
        <v>19</v>
      </c>
      <c r="B19" s="4">
        <f t="shared" si="0"/>
        <v>10866.863333333333</v>
      </c>
      <c r="C19" s="1">
        <v>130402.36</v>
      </c>
    </row>
    <row r="20" spans="1:3" ht="15.5">
      <c r="A20" s="1" t="s">
        <v>20</v>
      </c>
      <c r="B20" s="4">
        <f t="shared" si="0"/>
        <v>856.81333333333339</v>
      </c>
      <c r="C20" s="1">
        <v>10281.76</v>
      </c>
    </row>
    <row r="21" spans="1:3" ht="15.5">
      <c r="A21" s="1" t="s">
        <v>21</v>
      </c>
      <c r="B21" s="4">
        <f t="shared" si="0"/>
        <v>2178.2275</v>
      </c>
      <c r="C21" s="1">
        <v>26138.73</v>
      </c>
    </row>
    <row r="22" spans="1:3" ht="15.5">
      <c r="A22" s="1" t="s">
        <v>22</v>
      </c>
      <c r="B22" s="4">
        <f t="shared" si="0"/>
        <v>5082.6608333333334</v>
      </c>
      <c r="C22" s="1">
        <v>60991.93</v>
      </c>
    </row>
    <row r="23" spans="1:3" ht="15.5">
      <c r="A23" s="1" t="s">
        <v>23</v>
      </c>
      <c r="B23" s="4">
        <f t="shared" si="0"/>
        <v>51.887499999999996</v>
      </c>
      <c r="C23" s="1">
        <v>622.65</v>
      </c>
    </row>
    <row r="24" spans="1:3" ht="15.5">
      <c r="A24" s="1" t="s">
        <v>24</v>
      </c>
      <c r="B24" s="4">
        <f t="shared" si="0"/>
        <v>4163.9016666666666</v>
      </c>
      <c r="C24" s="1">
        <v>49966.82</v>
      </c>
    </row>
    <row r="25" spans="1:3" ht="15.5">
      <c r="A25" s="1" t="s">
        <v>25</v>
      </c>
      <c r="B25" s="4">
        <f t="shared" si="0"/>
        <v>107.14833333333333</v>
      </c>
      <c r="C25" s="1">
        <v>1285.78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11158.501666666665</v>
      </c>
      <c r="C27" s="1">
        <v>133902.01999999999</v>
      </c>
    </row>
    <row r="28" spans="1:3" ht="15.5">
      <c r="A28" s="2" t="s">
        <v>28</v>
      </c>
      <c r="B28" s="4">
        <f t="shared" si="0"/>
        <v>82923.77416666667</v>
      </c>
      <c r="C28" s="2">
        <f>SUM(C13:C27)</f>
        <v>995085.29</v>
      </c>
    </row>
    <row r="29" spans="1:3" ht="25.5" customHeight="1">
      <c r="A29" s="2" t="s">
        <v>29</v>
      </c>
      <c r="B29" s="1"/>
      <c r="C29" s="2"/>
    </row>
    <row r="30" spans="1:3" ht="31.5" customHeight="1">
      <c r="A30" s="2" t="s">
        <v>30</v>
      </c>
      <c r="B30" s="1"/>
      <c r="C30" s="2">
        <v>139771.46</v>
      </c>
    </row>
    <row r="31" spans="1:3" ht="38" customHeight="1">
      <c r="A31" s="3" t="s">
        <v>31</v>
      </c>
      <c r="B31" s="1"/>
      <c r="C31" s="1">
        <v>29447.040000000001</v>
      </c>
    </row>
    <row r="32" spans="1:3" ht="62" hidden="1">
      <c r="A32" s="3" t="s">
        <v>32</v>
      </c>
      <c r="B32" s="1"/>
      <c r="C32" s="1"/>
    </row>
    <row r="33" spans="1:3" ht="30" customHeight="1">
      <c r="A33" s="2" t="s">
        <v>33</v>
      </c>
      <c r="B33" s="2"/>
      <c r="C33" s="2">
        <v>-169218.5</v>
      </c>
    </row>
    <row r="34" spans="1:3" ht="29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9" customHeight="1">
      <c r="A36" s="1" t="s">
        <v>111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28" workbookViewId="0">
      <selection activeCell="A38" sqref="A38"/>
    </sheetView>
  </sheetViews>
  <sheetFormatPr defaultRowHeight="14.5"/>
  <cols>
    <col min="1" max="1" width="44.90625" customWidth="1"/>
    <col min="2" max="2" width="17.6328125" customWidth="1"/>
    <col min="3" max="3" width="17.26953125" customWidth="1"/>
  </cols>
  <sheetData>
    <row r="1" spans="1:3" ht="13" customHeight="1"/>
    <row r="2" spans="1:3" ht="16" customHeight="1">
      <c r="A2" s="1" t="s">
        <v>0</v>
      </c>
      <c r="B2" s="1"/>
      <c r="C2" s="1"/>
    </row>
    <row r="3" spans="1:3" ht="18" customHeight="1">
      <c r="A3" s="1" t="s">
        <v>39</v>
      </c>
      <c r="B3" s="1" t="s">
        <v>2</v>
      </c>
      <c r="C3" s="1"/>
    </row>
    <row r="4" spans="1:3" ht="15.5" customHeight="1">
      <c r="A4" s="1" t="s">
        <v>3</v>
      </c>
      <c r="B4" s="1"/>
      <c r="C4" s="1"/>
    </row>
    <row r="5" spans="1:3" ht="16.5" customHeight="1">
      <c r="A5" s="1" t="s">
        <v>4</v>
      </c>
      <c r="B5" s="1"/>
      <c r="C5" s="1"/>
    </row>
    <row r="6" spans="1:3" ht="14.5" customHeight="1">
      <c r="A6" s="1" t="s">
        <v>37</v>
      </c>
      <c r="B6" s="1"/>
      <c r="C6" s="1"/>
    </row>
    <row r="7" spans="1:3" ht="5.5" customHeight="1">
      <c r="A7" s="1"/>
      <c r="B7" s="1"/>
      <c r="C7" s="1"/>
    </row>
    <row r="8" spans="1:3" ht="22" customHeight="1">
      <c r="A8" s="1" t="s">
        <v>5</v>
      </c>
      <c r="B8" s="1" t="s">
        <v>6</v>
      </c>
      <c r="C8" s="1" t="s">
        <v>7</v>
      </c>
    </row>
    <row r="9" spans="1:3" ht="17.5" customHeight="1">
      <c r="A9" s="2" t="s">
        <v>8</v>
      </c>
      <c r="B9" s="1"/>
      <c r="C9" s="2">
        <v>-76680.06</v>
      </c>
    </row>
    <row r="10" spans="1:3" ht="43.5" customHeight="1">
      <c r="A10" s="3" t="s">
        <v>9</v>
      </c>
      <c r="B10" s="4">
        <f>C10/12</f>
        <v>41887.553333333337</v>
      </c>
      <c r="C10" s="1">
        <v>502650.64</v>
      </c>
    </row>
    <row r="11" spans="1:3" ht="46" customHeight="1">
      <c r="A11" s="3" t="s">
        <v>10</v>
      </c>
      <c r="B11" s="4">
        <f t="shared" ref="B11:B29" si="0">C11/12</f>
        <v>1659.5416666666667</v>
      </c>
      <c r="C11" s="1">
        <v>19914.5</v>
      </c>
    </row>
    <row r="12" spans="1:3" ht="16.5" customHeight="1">
      <c r="A12" s="2" t="s">
        <v>11</v>
      </c>
      <c r="B12" s="4">
        <f t="shared" si="0"/>
        <v>43547.095000000001</v>
      </c>
      <c r="C12" s="2">
        <f>SUM(C10:C11)</f>
        <v>522565.14</v>
      </c>
    </row>
    <row r="13" spans="1:3" ht="15" customHeight="1">
      <c r="A13" s="2" t="s">
        <v>12</v>
      </c>
      <c r="B13" s="4">
        <f t="shared" si="0"/>
        <v>0</v>
      </c>
      <c r="C13" s="1"/>
    </row>
    <row r="14" spans="1:3" ht="76.5" customHeight="1">
      <c r="A14" s="3" t="s">
        <v>13</v>
      </c>
      <c r="B14" s="4">
        <f t="shared" si="0"/>
        <v>10764.439166666665</v>
      </c>
      <c r="C14" s="1">
        <f>105737.95+23435.32</f>
        <v>129173.26999999999</v>
      </c>
    </row>
    <row r="15" spans="1:3" ht="75" customHeight="1">
      <c r="A15" s="3" t="s">
        <v>14</v>
      </c>
      <c r="B15" s="4">
        <f t="shared" si="0"/>
        <v>9173.751666666667</v>
      </c>
      <c r="C15" s="1">
        <f>28137.72+81947.3</f>
        <v>110085.02</v>
      </c>
    </row>
    <row r="16" spans="1:3" ht="62.5" customHeight="1">
      <c r="A16" s="3" t="s">
        <v>15</v>
      </c>
      <c r="B16" s="4">
        <f t="shared" si="0"/>
        <v>0</v>
      </c>
      <c r="C16" s="1"/>
    </row>
    <row r="17" spans="1:3" ht="18" customHeight="1">
      <c r="A17" s="1" t="s">
        <v>16</v>
      </c>
      <c r="B17" s="4">
        <f t="shared" si="0"/>
        <v>9491.3866666666672</v>
      </c>
      <c r="C17" s="1">
        <v>113896.64</v>
      </c>
    </row>
    <row r="18" spans="1:3" ht="21.5" customHeight="1">
      <c r="A18" s="1" t="s">
        <v>17</v>
      </c>
      <c r="B18" s="4">
        <f t="shared" si="0"/>
        <v>1546.5600000000002</v>
      </c>
      <c r="C18" s="1">
        <v>18558.72</v>
      </c>
    </row>
    <row r="19" spans="1:3" ht="15.5" customHeight="1">
      <c r="A19" s="1" t="s">
        <v>18</v>
      </c>
      <c r="B19" s="4">
        <f t="shared" si="0"/>
        <v>187.17999999999998</v>
      </c>
      <c r="C19" s="1">
        <v>2246.16</v>
      </c>
    </row>
    <row r="20" spans="1:3" ht="16.5" customHeight="1">
      <c r="A20" s="1" t="s">
        <v>19</v>
      </c>
      <c r="B20" s="4">
        <f t="shared" si="0"/>
        <v>0</v>
      </c>
      <c r="C20" s="1"/>
    </row>
    <row r="21" spans="1:3" ht="18.5" customHeight="1">
      <c r="A21" s="1" t="s">
        <v>20</v>
      </c>
      <c r="B21" s="4">
        <f t="shared" si="0"/>
        <v>889.76833333333332</v>
      </c>
      <c r="C21" s="1">
        <v>10677.22</v>
      </c>
    </row>
    <row r="22" spans="1:3" ht="14.5" customHeight="1">
      <c r="A22" s="1" t="s">
        <v>21</v>
      </c>
      <c r="B22" s="4">
        <f t="shared" si="0"/>
        <v>1162.0183333333332</v>
      </c>
      <c r="C22" s="1">
        <v>13944.22</v>
      </c>
    </row>
    <row r="23" spans="1:3" ht="16.5" customHeight="1">
      <c r="A23" s="1" t="s">
        <v>22</v>
      </c>
      <c r="B23" s="4">
        <f t="shared" si="0"/>
        <v>3632.7441666666668</v>
      </c>
      <c r="C23" s="1">
        <v>43592.93</v>
      </c>
    </row>
    <row r="24" spans="1:3" ht="15.5" customHeight="1">
      <c r="A24" s="1" t="s">
        <v>23</v>
      </c>
      <c r="B24" s="4">
        <f t="shared" si="0"/>
        <v>602.7258333333333</v>
      </c>
      <c r="C24" s="1">
        <v>7232.71</v>
      </c>
    </row>
    <row r="25" spans="1:3" ht="20.5" customHeight="1">
      <c r="A25" s="1" t="s">
        <v>24</v>
      </c>
      <c r="B25" s="4">
        <f t="shared" si="0"/>
        <v>2257.1725000000001</v>
      </c>
      <c r="C25" s="1">
        <v>27086.07</v>
      </c>
    </row>
    <row r="26" spans="1:3" ht="18" customHeight="1">
      <c r="A26" s="1" t="s">
        <v>25</v>
      </c>
      <c r="B26" s="4">
        <f t="shared" si="0"/>
        <v>262.82</v>
      </c>
      <c r="C26" s="1">
        <v>3153.84</v>
      </c>
    </row>
    <row r="27" spans="1:3" ht="15.5">
      <c r="A27" s="1" t="s">
        <v>26</v>
      </c>
      <c r="B27" s="4">
        <f t="shared" si="0"/>
        <v>0</v>
      </c>
      <c r="C27" s="1"/>
    </row>
    <row r="28" spans="1:3" ht="15.5">
      <c r="A28" s="1" t="s">
        <v>27</v>
      </c>
      <c r="B28" s="4">
        <f t="shared" si="0"/>
        <v>9166.5674999999992</v>
      </c>
      <c r="C28" s="1">
        <v>109998.81</v>
      </c>
    </row>
    <row r="29" spans="1:3" ht="15.5">
      <c r="A29" s="2" t="s">
        <v>28</v>
      </c>
      <c r="B29" s="4">
        <f t="shared" si="0"/>
        <v>49137.134166666663</v>
      </c>
      <c r="C29" s="2">
        <f>SUM(C14:C28)</f>
        <v>589645.61</v>
      </c>
    </row>
    <row r="30" spans="1:3" ht="15.5">
      <c r="A30" s="2" t="s">
        <v>29</v>
      </c>
      <c r="B30" s="1"/>
      <c r="C30" s="2"/>
    </row>
    <row r="31" spans="1:3" ht="15.5">
      <c r="A31" s="2" t="s">
        <v>30</v>
      </c>
      <c r="B31" s="1"/>
      <c r="C31" s="2">
        <v>143760.53</v>
      </c>
    </row>
    <row r="32" spans="1:3" ht="28" customHeight="1">
      <c r="A32" s="3" t="s">
        <v>31</v>
      </c>
      <c r="B32" s="1"/>
      <c r="C32" s="1">
        <v>168716</v>
      </c>
    </row>
    <row r="33" spans="1:3" ht="13.5" customHeight="1">
      <c r="A33" s="3"/>
      <c r="B33" s="1"/>
      <c r="C33" s="1"/>
    </row>
    <row r="34" spans="1:3" ht="15.5">
      <c r="A34" s="2" t="s">
        <v>33</v>
      </c>
      <c r="B34" s="2"/>
      <c r="C34" s="2">
        <v>-312476.53000000003</v>
      </c>
    </row>
    <row r="35" spans="1:3" ht="33" customHeight="1">
      <c r="A35" s="1" t="s">
        <v>34</v>
      </c>
      <c r="B35" s="1"/>
      <c r="C35" s="1"/>
    </row>
    <row r="36" spans="1:3" ht="29" customHeight="1">
      <c r="A36" s="1" t="s">
        <v>35</v>
      </c>
      <c r="B36" s="1"/>
      <c r="C36" s="1"/>
    </row>
    <row r="37" spans="1:3" ht="27.5" customHeight="1">
      <c r="A37" s="1" t="s">
        <v>111</v>
      </c>
      <c r="B37" s="1"/>
      <c r="C37" s="1"/>
    </row>
    <row r="38" spans="1:3" ht="26.5" customHeight="1">
      <c r="A38" s="1" t="s">
        <v>36</v>
      </c>
      <c r="B38" s="1"/>
      <c r="C3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8.1796875" customWidth="1"/>
    <col min="2" max="2" width="17.63281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61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-221744.56</v>
      </c>
    </row>
    <row r="9" spans="1:3" ht="33" customHeight="1">
      <c r="A9" s="3" t="s">
        <v>9</v>
      </c>
      <c r="B9" s="4">
        <f>C9/12</f>
        <v>73866.431666666671</v>
      </c>
      <c r="C9" s="1">
        <v>886397.18</v>
      </c>
    </row>
    <row r="10" spans="1:3" ht="48" customHeight="1">
      <c r="A10" s="3" t="s">
        <v>10</v>
      </c>
      <c r="B10" s="4">
        <f t="shared" ref="B10:B28" si="0">C10/12</f>
        <v>1110.0833333333333</v>
      </c>
      <c r="C10" s="1">
        <v>13321</v>
      </c>
    </row>
    <row r="11" spans="1:3" ht="17.5" customHeight="1">
      <c r="A11" s="2" t="s">
        <v>11</v>
      </c>
      <c r="B11" s="4">
        <f t="shared" si="0"/>
        <v>74976.514999999999</v>
      </c>
      <c r="C11" s="2">
        <f>SUM(C9:C10)</f>
        <v>899718.18</v>
      </c>
    </row>
    <row r="12" spans="1:3" ht="14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14415.965833333335</v>
      </c>
      <c r="C13" s="1">
        <f>141606.51+31385.08</f>
        <v>172991.59000000003</v>
      </c>
    </row>
    <row r="14" spans="1:3" ht="77.5">
      <c r="A14" s="3" t="s">
        <v>14</v>
      </c>
      <c r="B14" s="4">
        <f t="shared" si="0"/>
        <v>16401.795833333334</v>
      </c>
      <c r="C14" s="1">
        <f>90848.5+105973.05</f>
        <v>196821.55</v>
      </c>
    </row>
    <row r="15" spans="1:3" ht="46.5">
      <c r="A15" s="3" t="s">
        <v>15</v>
      </c>
      <c r="B15" s="4">
        <f t="shared" si="0"/>
        <v>6316.1616666666669</v>
      </c>
      <c r="C15" s="1">
        <v>75793.94</v>
      </c>
    </row>
    <row r="16" spans="1:3" ht="15.5">
      <c r="A16" s="1" t="s">
        <v>16</v>
      </c>
      <c r="B16" s="4">
        <f t="shared" si="0"/>
        <v>1396.6666666666667</v>
      </c>
      <c r="C16" s="1">
        <v>16760</v>
      </c>
    </row>
    <row r="17" spans="1:3" ht="15.5">
      <c r="A17" s="1" t="s">
        <v>17</v>
      </c>
      <c r="B17" s="4">
        <f t="shared" si="0"/>
        <v>1828.75</v>
      </c>
      <c r="C17" s="1">
        <v>21945</v>
      </c>
    </row>
    <row r="18" spans="1:3" ht="15.5">
      <c r="A18" s="1" t="s">
        <v>18</v>
      </c>
      <c r="B18" s="4">
        <f t="shared" si="0"/>
        <v>81.010000000000005</v>
      </c>
      <c r="C18" s="1">
        <v>972.12</v>
      </c>
    </row>
    <row r="19" spans="1:3" ht="15.5">
      <c r="A19" s="1" t="s">
        <v>19</v>
      </c>
      <c r="B19" s="4">
        <f t="shared" si="0"/>
        <v>8482.99</v>
      </c>
      <c r="C19" s="1">
        <v>101795.88</v>
      </c>
    </row>
    <row r="20" spans="1:3" ht="15.5">
      <c r="A20" s="1" t="s">
        <v>20</v>
      </c>
      <c r="B20" s="4">
        <f t="shared" si="0"/>
        <v>911.73750000000007</v>
      </c>
      <c r="C20" s="1">
        <v>10940.85</v>
      </c>
    </row>
    <row r="21" spans="1:3" ht="15.5">
      <c r="A21" s="1" t="s">
        <v>21</v>
      </c>
      <c r="B21" s="4">
        <f t="shared" si="0"/>
        <v>1893.5566666666666</v>
      </c>
      <c r="C21" s="1">
        <v>22722.68</v>
      </c>
    </row>
    <row r="22" spans="1:3" ht="15.5">
      <c r="A22" s="1" t="s">
        <v>22</v>
      </c>
      <c r="B22" s="4">
        <f t="shared" si="0"/>
        <v>4297.1908333333331</v>
      </c>
      <c r="C22" s="1">
        <v>51566.29</v>
      </c>
    </row>
    <row r="23" spans="1:3" ht="15.5">
      <c r="A23" s="1" t="s">
        <v>23</v>
      </c>
      <c r="B23" s="4">
        <f t="shared" si="0"/>
        <v>53.661666666666669</v>
      </c>
      <c r="C23" s="1">
        <v>643.94000000000005</v>
      </c>
    </row>
    <row r="24" spans="1:3" ht="15.5">
      <c r="A24" s="1" t="s">
        <v>24</v>
      </c>
      <c r="B24" s="4">
        <f t="shared" si="0"/>
        <v>3595.1341666666667</v>
      </c>
      <c r="C24" s="1">
        <v>43141.61</v>
      </c>
    </row>
    <row r="25" spans="1:3" ht="15.5">
      <c r="A25" s="1" t="s">
        <v>25</v>
      </c>
      <c r="B25" s="4">
        <f t="shared" si="0"/>
        <v>107.83333333333333</v>
      </c>
      <c r="C25" s="1">
        <v>1294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9176.5108333333337</v>
      </c>
      <c r="C27" s="1">
        <v>110118.13</v>
      </c>
    </row>
    <row r="28" spans="1:3" ht="15.5">
      <c r="A28" s="2" t="s">
        <v>28</v>
      </c>
      <c r="B28" s="4">
        <f t="shared" si="0"/>
        <v>68958.965000000011</v>
      </c>
      <c r="C28" s="2">
        <f>SUM(C13:C27)</f>
        <v>827507.58000000007</v>
      </c>
    </row>
    <row r="29" spans="1:3" ht="24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149533.96</v>
      </c>
    </row>
    <row r="31" spans="1:3" ht="42.5" customHeight="1">
      <c r="A31" s="3" t="s">
        <v>31</v>
      </c>
      <c r="B31" s="1"/>
      <c r="C31" s="1">
        <v>66731.42</v>
      </c>
    </row>
    <row r="32" spans="1:3" ht="62" hidden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-216265.38</v>
      </c>
    </row>
    <row r="34" spans="1:3" ht="33.5" customHeight="1">
      <c r="A34" s="1" t="s">
        <v>34</v>
      </c>
      <c r="B34" s="1"/>
      <c r="C34" s="1"/>
    </row>
    <row r="35" spans="1:3" ht="35.5" customHeight="1">
      <c r="A35" s="1" t="s">
        <v>35</v>
      </c>
      <c r="B35" s="1"/>
      <c r="C35" s="1"/>
    </row>
    <row r="36" spans="1:3" ht="30.5" customHeight="1">
      <c r="A36" s="1" t="s">
        <v>110</v>
      </c>
      <c r="B36" s="1"/>
      <c r="C36" s="1"/>
    </row>
    <row r="37" spans="1:3" ht="33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7" sqref="A37"/>
    </sheetView>
  </sheetViews>
  <sheetFormatPr defaultRowHeight="14.5"/>
  <cols>
    <col min="1" max="1" width="45.1796875" customWidth="1"/>
    <col min="2" max="2" width="17.816406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62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-359604.22</v>
      </c>
    </row>
    <row r="9" spans="1:3" ht="44.5" customHeight="1">
      <c r="A9" s="3" t="s">
        <v>9</v>
      </c>
      <c r="B9" s="4">
        <f>C9/12</f>
        <v>135982.91500000001</v>
      </c>
      <c r="C9" s="1">
        <v>1631794.98</v>
      </c>
    </row>
    <row r="10" spans="1:3" ht="43.5" customHeight="1">
      <c r="A10" s="3" t="s">
        <v>10</v>
      </c>
      <c r="B10" s="4">
        <f t="shared" ref="B10:B28" si="0">C10/12</f>
        <v>18200.545000000002</v>
      </c>
      <c r="C10" s="1">
        <f>174476.54+43930</f>
        <v>218406.54</v>
      </c>
    </row>
    <row r="11" spans="1:3" ht="16" customHeight="1">
      <c r="A11" s="2" t="s">
        <v>11</v>
      </c>
      <c r="B11" s="4">
        <f t="shared" si="0"/>
        <v>154183.46</v>
      </c>
      <c r="C11" s="2">
        <f>SUM(C9:C10)</f>
        <v>1850201.52</v>
      </c>
    </row>
    <row r="12" spans="1:3" ht="18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36189.933333333334</v>
      </c>
      <c r="C13" s="1">
        <f>355489.88+78789.32</f>
        <v>434279.2</v>
      </c>
    </row>
    <row r="14" spans="1:3" ht="77.5">
      <c r="A14" s="3" t="s">
        <v>14</v>
      </c>
      <c r="B14" s="4">
        <f t="shared" si="0"/>
        <v>32746.568333333333</v>
      </c>
      <c r="C14" s="1">
        <f>87106.02+305852.8</f>
        <v>392958.82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11559.083333333334</v>
      </c>
      <c r="C16" s="1">
        <v>138709</v>
      </c>
    </row>
    <row r="17" spans="1:3" ht="15.5">
      <c r="A17" s="1" t="s">
        <v>17</v>
      </c>
      <c r="B17" s="4">
        <f t="shared" si="0"/>
        <v>5100.62</v>
      </c>
      <c r="C17" s="1">
        <v>61207.44</v>
      </c>
    </row>
    <row r="18" spans="1:3" ht="15.5">
      <c r="A18" s="1" t="s">
        <v>18</v>
      </c>
      <c r="B18" s="4">
        <f t="shared" si="0"/>
        <v>425.5</v>
      </c>
      <c r="C18" s="1">
        <v>5106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2251.8816666666667</v>
      </c>
      <c r="C20" s="1">
        <v>27022.58</v>
      </c>
    </row>
    <row r="21" spans="1:3" ht="15.5">
      <c r="A21" s="1" t="s">
        <v>21</v>
      </c>
      <c r="B21" s="4">
        <f t="shared" si="0"/>
        <v>3778.1808333333333</v>
      </c>
      <c r="C21" s="1">
        <v>45338.17</v>
      </c>
    </row>
    <row r="22" spans="1:3" ht="15.5">
      <c r="A22" s="1" t="s">
        <v>22</v>
      </c>
      <c r="B22" s="4">
        <f t="shared" si="0"/>
        <v>12330.723333333333</v>
      </c>
      <c r="C22" s="1">
        <v>147968.68</v>
      </c>
    </row>
    <row r="23" spans="1:3" ht="15.5">
      <c r="A23" s="1" t="s">
        <v>23</v>
      </c>
      <c r="B23" s="4">
        <f t="shared" si="0"/>
        <v>132.60166666666666</v>
      </c>
      <c r="C23" s="1">
        <v>1591.22</v>
      </c>
    </row>
    <row r="24" spans="1:3" ht="15.5">
      <c r="A24" s="1" t="s">
        <v>24</v>
      </c>
      <c r="B24" s="4">
        <f t="shared" si="0"/>
        <v>7559.8358333333335</v>
      </c>
      <c r="C24" s="1">
        <v>90718.03</v>
      </c>
    </row>
    <row r="25" spans="1:3" ht="15.5">
      <c r="A25" s="1" t="s">
        <v>25</v>
      </c>
      <c r="B25" s="4">
        <f t="shared" si="0"/>
        <v>666.6491666666667</v>
      </c>
      <c r="C25" s="1">
        <v>7999.79</v>
      </c>
    </row>
    <row r="26" spans="1:3" ht="15.5">
      <c r="A26" s="1" t="s">
        <v>26</v>
      </c>
      <c r="B26" s="4">
        <f t="shared" si="0"/>
        <v>983.33333333333337</v>
      </c>
      <c r="C26" s="1">
        <v>11800</v>
      </c>
    </row>
    <row r="27" spans="1:3" ht="15.5">
      <c r="A27" s="1" t="s">
        <v>27</v>
      </c>
      <c r="B27" s="4">
        <f t="shared" si="0"/>
        <v>31114.331666666665</v>
      </c>
      <c r="C27" s="1">
        <v>373371.98</v>
      </c>
    </row>
    <row r="28" spans="1:3" ht="17.5" customHeight="1">
      <c r="A28" s="2" t="s">
        <v>28</v>
      </c>
      <c r="B28" s="4">
        <f t="shared" si="0"/>
        <v>144839.24249999999</v>
      </c>
      <c r="C28" s="2">
        <f>SUM(C13:C27)</f>
        <v>1738070.91</v>
      </c>
    </row>
    <row r="29" spans="1:3" ht="20.5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247473.61</v>
      </c>
    </row>
    <row r="31" spans="1:3" ht="43" customHeight="1">
      <c r="A31" s="3" t="s">
        <v>31</v>
      </c>
      <c r="B31" s="1"/>
      <c r="C31" s="1">
        <v>211298.68</v>
      </c>
    </row>
    <row r="32" spans="1:3" ht="62" hidden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-458772.29</v>
      </c>
    </row>
    <row r="34" spans="1:3" ht="24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7.5" customHeight="1">
      <c r="A36" s="1" t="s">
        <v>112</v>
      </c>
      <c r="B36" s="1"/>
      <c r="C36" s="1"/>
    </row>
    <row r="37" spans="1:3" ht="34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3" sqref="C33"/>
    </sheetView>
  </sheetViews>
  <sheetFormatPr defaultRowHeight="14.5"/>
  <cols>
    <col min="1" max="1" width="42.6328125" customWidth="1"/>
    <col min="2" max="2" width="15.36328125" customWidth="1"/>
    <col min="3" max="3" width="15" customWidth="1"/>
  </cols>
  <sheetData>
    <row r="1" spans="1:3" ht="15.5">
      <c r="A1" s="1" t="s">
        <v>0</v>
      </c>
      <c r="B1" s="1"/>
      <c r="C1" s="1"/>
    </row>
    <row r="2" spans="1:3" ht="15.5">
      <c r="A2" s="1" t="s">
        <v>63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2695.14</v>
      </c>
    </row>
    <row r="9" spans="1:3" ht="54.5" customHeight="1">
      <c r="A9" s="3" t="s">
        <v>9</v>
      </c>
      <c r="B9" s="4">
        <f>C9/12</f>
        <v>77021.436666666661</v>
      </c>
      <c r="C9" s="1">
        <v>924257.24</v>
      </c>
    </row>
    <row r="10" spans="1:3" ht="42.5" customHeight="1">
      <c r="A10" s="3" t="s">
        <v>10</v>
      </c>
      <c r="B10" s="4">
        <f t="shared" ref="B10:B28" si="0">C10/12</f>
        <v>2627.1666666666665</v>
      </c>
      <c r="C10" s="1">
        <v>31526</v>
      </c>
    </row>
    <row r="11" spans="1:3" ht="18" customHeight="1">
      <c r="A11" s="2" t="s">
        <v>11</v>
      </c>
      <c r="B11" s="4">
        <f t="shared" si="0"/>
        <v>79648.603333333333</v>
      </c>
      <c r="C11" s="2">
        <f>SUM(C9:C10)</f>
        <v>955783.24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78.5" customHeight="1">
      <c r="A13" s="3" t="s">
        <v>13</v>
      </c>
      <c r="B13" s="4">
        <f t="shared" si="0"/>
        <v>19475.633333333331</v>
      </c>
      <c r="C13" s="1">
        <f>191307.08+42400.52</f>
        <v>233707.59999999998</v>
      </c>
    </row>
    <row r="14" spans="1:3" ht="77.5">
      <c r="A14" s="3" t="s">
        <v>14</v>
      </c>
      <c r="B14" s="4">
        <f t="shared" si="0"/>
        <v>14107.873333333335</v>
      </c>
      <c r="C14" s="1">
        <f>62657.82+106636.66</f>
        <v>169294.48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6186.833333333333</v>
      </c>
      <c r="C16" s="1">
        <v>74242</v>
      </c>
    </row>
    <row r="17" spans="1:3" ht="15.5">
      <c r="A17" s="1" t="s">
        <v>17</v>
      </c>
      <c r="B17" s="4">
        <f t="shared" si="0"/>
        <v>2737.2999999999997</v>
      </c>
      <c r="C17" s="1">
        <v>32847.599999999999</v>
      </c>
    </row>
    <row r="18" spans="1:3" ht="15.5">
      <c r="A18" s="1" t="s">
        <v>18</v>
      </c>
      <c r="B18" s="4">
        <f t="shared" si="0"/>
        <v>251.15</v>
      </c>
      <c r="C18" s="1">
        <v>3013.8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1362.1141666666667</v>
      </c>
      <c r="C20" s="1">
        <v>16345.37</v>
      </c>
    </row>
    <row r="21" spans="1:3" ht="15.5">
      <c r="A21" s="1" t="s">
        <v>21</v>
      </c>
      <c r="B21" s="4">
        <f t="shared" si="0"/>
        <v>2144.0391666666669</v>
      </c>
      <c r="C21" s="1">
        <v>25728.47</v>
      </c>
    </row>
    <row r="22" spans="1:3" ht="15.5">
      <c r="A22" s="1" t="s">
        <v>22</v>
      </c>
      <c r="B22" s="4">
        <f t="shared" si="0"/>
        <v>6452.1591666666673</v>
      </c>
      <c r="C22" s="1">
        <v>77425.91</v>
      </c>
    </row>
    <row r="23" spans="1:3" ht="15.5">
      <c r="A23" s="1" t="s">
        <v>23</v>
      </c>
      <c r="B23" s="4">
        <f t="shared" si="0"/>
        <v>79.38333333333334</v>
      </c>
      <c r="C23" s="1">
        <v>952.6</v>
      </c>
    </row>
    <row r="24" spans="1:3" ht="15.5">
      <c r="A24" s="1" t="s">
        <v>24</v>
      </c>
      <c r="B24" s="4">
        <f t="shared" si="0"/>
        <v>4128.4183333333331</v>
      </c>
      <c r="C24" s="1">
        <v>49541.02</v>
      </c>
    </row>
    <row r="25" spans="1:3" ht="15.5">
      <c r="A25" s="1" t="s">
        <v>25</v>
      </c>
      <c r="B25" s="4">
        <f t="shared" si="0"/>
        <v>451.6033333333333</v>
      </c>
      <c r="C25" s="1">
        <v>5419.24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16280.845833333333</v>
      </c>
      <c r="C27" s="1">
        <v>195370.15</v>
      </c>
    </row>
    <row r="28" spans="1:3" ht="15.5">
      <c r="A28" s="2" t="s">
        <v>28</v>
      </c>
      <c r="B28" s="4">
        <f t="shared" si="0"/>
        <v>73657.353333333333</v>
      </c>
      <c r="C28" s="2">
        <f>SUM(C13:C27)</f>
        <v>883888.24</v>
      </c>
    </row>
    <row r="29" spans="1:3" ht="25" customHeight="1">
      <c r="A29" s="2" t="s">
        <v>29</v>
      </c>
      <c r="B29" s="1"/>
      <c r="C29" s="2">
        <v>74590.14</v>
      </c>
    </row>
    <row r="30" spans="1:3" ht="28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141091.56</v>
      </c>
    </row>
    <row r="32" spans="1:3" ht="0.5" customHeight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-66501.42</v>
      </c>
    </row>
    <row r="34" spans="1:3" ht="27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7"/>
  <sheetViews>
    <sheetView topLeftCell="A34" workbookViewId="0">
      <selection activeCell="C34" sqref="C34"/>
    </sheetView>
  </sheetViews>
  <sheetFormatPr defaultRowHeight="14.5"/>
  <cols>
    <col min="1" max="1" width="44.453125" customWidth="1"/>
    <col min="2" max="2" width="18" customWidth="1"/>
    <col min="3" max="3" width="17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65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6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22.5" customHeight="1">
      <c r="A8" s="2" t="s">
        <v>8</v>
      </c>
      <c r="B8" s="1"/>
      <c r="C8" s="2">
        <v>-44460.81</v>
      </c>
    </row>
    <row r="9" spans="1:3" ht="43.5" customHeight="1">
      <c r="A9" s="3" t="s">
        <v>9</v>
      </c>
      <c r="B9" s="4">
        <f>C9/12</f>
        <v>68300.262499999997</v>
      </c>
      <c r="C9" s="1">
        <v>819603.15</v>
      </c>
    </row>
    <row r="10" spans="1:3" ht="48" customHeight="1">
      <c r="A10" s="3" t="s">
        <v>10</v>
      </c>
      <c r="B10" s="4">
        <f t="shared" ref="B10:B11" si="0">C10/12</f>
        <v>10173.246666666668</v>
      </c>
      <c r="C10" s="1">
        <f>83918.96+38160</f>
        <v>122078.96</v>
      </c>
    </row>
    <row r="11" spans="1:3" ht="20.5" customHeight="1">
      <c r="A11" s="2" t="s">
        <v>11</v>
      </c>
      <c r="B11" s="4">
        <f t="shared" si="0"/>
        <v>78473.50916666667</v>
      </c>
      <c r="C11" s="2">
        <f>SUM(C9:C10)</f>
        <v>941682.11</v>
      </c>
    </row>
    <row r="12" spans="1:3" ht="16" customHeight="1">
      <c r="A12" s="2" t="s">
        <v>12</v>
      </c>
      <c r="B12" s="4"/>
      <c r="C12" s="1"/>
    </row>
    <row r="13" spans="1:3" ht="76.5" customHeight="1">
      <c r="A13" s="3" t="s">
        <v>13</v>
      </c>
      <c r="B13" s="4">
        <f>C13/12</f>
        <v>15997.885</v>
      </c>
      <c r="C13" s="1">
        <f>34829.1+157145.52</f>
        <v>191974.62</v>
      </c>
    </row>
    <row r="14" spans="1:3" ht="77.5">
      <c r="A14" s="3" t="s">
        <v>14</v>
      </c>
      <c r="B14" s="4">
        <f t="shared" ref="B14:B28" si="1">C14/12</f>
        <v>17652.34</v>
      </c>
      <c r="C14" s="1">
        <f>126821.2+85006.88</f>
        <v>211828.08000000002</v>
      </c>
    </row>
    <row r="15" spans="1:3" ht="62">
      <c r="A15" s="3" t="s">
        <v>15</v>
      </c>
      <c r="B15" s="4">
        <f t="shared" si="1"/>
        <v>11566.946666666665</v>
      </c>
      <c r="C15" s="1">
        <v>138803.35999999999</v>
      </c>
    </row>
    <row r="16" spans="1:3" ht="15.5">
      <c r="A16" s="1" t="s">
        <v>16</v>
      </c>
      <c r="B16" s="4">
        <f t="shared" si="1"/>
        <v>2797.1666666666665</v>
      </c>
      <c r="C16" s="1">
        <v>33566</v>
      </c>
    </row>
    <row r="17" spans="1:3" ht="15.5">
      <c r="A17" s="1" t="s">
        <v>17</v>
      </c>
      <c r="B17" s="4">
        <f t="shared" si="1"/>
        <v>2098.1799999999998</v>
      </c>
      <c r="C17" s="1">
        <v>25178.16</v>
      </c>
    </row>
    <row r="18" spans="1:3" ht="15.5">
      <c r="A18" s="1" t="s">
        <v>18</v>
      </c>
      <c r="B18" s="4">
        <f t="shared" si="1"/>
        <v>131.69</v>
      </c>
      <c r="C18" s="1">
        <v>1580.28</v>
      </c>
    </row>
    <row r="19" spans="1:3" ht="15.5">
      <c r="A19" s="1" t="s">
        <v>19</v>
      </c>
      <c r="B19" s="4">
        <f t="shared" si="1"/>
        <v>10588.223333333333</v>
      </c>
      <c r="C19" s="1">
        <v>127058.68</v>
      </c>
    </row>
    <row r="20" spans="1:3" ht="15.5">
      <c r="A20" s="1" t="s">
        <v>20</v>
      </c>
      <c r="B20" s="4">
        <f t="shared" si="1"/>
        <v>1669.6883333333333</v>
      </c>
      <c r="C20" s="1">
        <v>20036.259999999998</v>
      </c>
    </row>
    <row r="21" spans="1:3" ht="15.5">
      <c r="A21" s="1" t="s">
        <v>21</v>
      </c>
      <c r="B21" s="4">
        <f t="shared" si="1"/>
        <v>1953.5583333333334</v>
      </c>
      <c r="C21" s="1">
        <v>23442.7</v>
      </c>
    </row>
    <row r="22" spans="1:3" ht="15.5">
      <c r="A22" s="1" t="s">
        <v>22</v>
      </c>
      <c r="B22" s="4">
        <f t="shared" si="1"/>
        <v>4941.4483333333328</v>
      </c>
      <c r="C22" s="1">
        <v>59297.38</v>
      </c>
    </row>
    <row r="23" spans="1:3" ht="15.5">
      <c r="A23" s="1" t="s">
        <v>23</v>
      </c>
      <c r="B23" s="4">
        <f t="shared" si="1"/>
        <v>97.123333333333335</v>
      </c>
      <c r="C23" s="1">
        <v>1165.48</v>
      </c>
    </row>
    <row r="24" spans="1:3" ht="15.5">
      <c r="A24" s="1" t="s">
        <v>24</v>
      </c>
      <c r="B24" s="4">
        <f t="shared" si="1"/>
        <v>3808.3458333333333</v>
      </c>
      <c r="C24" s="1">
        <v>45700.15</v>
      </c>
    </row>
    <row r="25" spans="1:3" ht="15.5">
      <c r="A25" s="1" t="s">
        <v>25</v>
      </c>
      <c r="B25" s="4">
        <f t="shared" si="1"/>
        <v>391.49</v>
      </c>
      <c r="C25" s="1">
        <v>4697.88</v>
      </c>
    </row>
    <row r="26" spans="1:3" ht="15.5">
      <c r="A26" s="1" t="s">
        <v>26</v>
      </c>
      <c r="B26" s="4">
        <f t="shared" si="1"/>
        <v>837.92000000000007</v>
      </c>
      <c r="C26" s="1">
        <v>10055.040000000001</v>
      </c>
    </row>
    <row r="27" spans="1:3" ht="15.5">
      <c r="A27" s="1" t="s">
        <v>27</v>
      </c>
      <c r="B27" s="4">
        <f t="shared" si="1"/>
        <v>10802.175833333333</v>
      </c>
      <c r="C27" s="1">
        <v>129626.11</v>
      </c>
    </row>
    <row r="28" spans="1:3" ht="15.5">
      <c r="A28" s="2" t="s">
        <v>28</v>
      </c>
      <c r="B28" s="4">
        <f t="shared" si="1"/>
        <v>85334.181666666685</v>
      </c>
      <c r="C28" s="2">
        <f>SUM(C13:C27)</f>
        <v>1024010.1800000002</v>
      </c>
    </row>
    <row r="29" spans="1:3" ht="29" customHeight="1">
      <c r="A29" s="2" t="s">
        <v>29</v>
      </c>
      <c r="B29" s="1"/>
      <c r="C29" s="2"/>
    </row>
    <row r="30" spans="1:3" ht="28" customHeight="1">
      <c r="A30" s="2" t="s">
        <v>30</v>
      </c>
      <c r="B30" s="1"/>
      <c r="C30" s="2">
        <v>126788.88</v>
      </c>
    </row>
    <row r="31" spans="1:3" ht="42" customHeight="1">
      <c r="A31" s="3" t="s">
        <v>31</v>
      </c>
      <c r="B31" s="1"/>
      <c r="C31" s="1">
        <v>69762.28</v>
      </c>
    </row>
    <row r="32" spans="1:3" ht="62" hidden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-196551.16</v>
      </c>
    </row>
    <row r="34" spans="1:3" ht="36.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31" customHeight="1">
      <c r="A36" s="1" t="s">
        <v>64</v>
      </c>
      <c r="B36" s="1"/>
      <c r="C36" s="1"/>
    </row>
    <row r="37" spans="1:3" ht="3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E35" sqref="E35"/>
    </sheetView>
  </sheetViews>
  <sheetFormatPr defaultRowHeight="14.5"/>
  <cols>
    <col min="1" max="1" width="48.1796875" customWidth="1"/>
    <col min="2" max="3" width="17.08984375" customWidth="1"/>
  </cols>
  <sheetData>
    <row r="1" spans="1:3" ht="15.5">
      <c r="A1" s="1" t="s">
        <v>0</v>
      </c>
      <c r="B1" s="1"/>
      <c r="C1" s="1"/>
    </row>
    <row r="2" spans="1:3" ht="15.5">
      <c r="A2" s="1" t="s">
        <v>1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-19412.310000000001</v>
      </c>
    </row>
    <row r="9" spans="1:3" ht="28" customHeight="1">
      <c r="A9" s="3" t="s">
        <v>9</v>
      </c>
      <c r="B9" s="4">
        <f>C9/12</f>
        <v>35213.343333333331</v>
      </c>
      <c r="C9" s="1">
        <v>422560.12</v>
      </c>
    </row>
    <row r="10" spans="1:3" ht="46.5">
      <c r="A10" s="3" t="s">
        <v>10</v>
      </c>
      <c r="B10" s="4">
        <f t="shared" ref="B10:B28" si="0">C10/12</f>
        <v>13736.21</v>
      </c>
      <c r="C10" s="1">
        <f>151656.52+13178</f>
        <v>164834.51999999999</v>
      </c>
    </row>
    <row r="11" spans="1:3" ht="15.5">
      <c r="A11" s="2" t="s">
        <v>11</v>
      </c>
      <c r="B11" s="4">
        <f t="shared" si="0"/>
        <v>48949.553333333337</v>
      </c>
      <c r="C11" s="2">
        <f>SUM(C9:C10)</f>
        <v>587394.64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12784.048333333332</v>
      </c>
      <c r="C13" s="1">
        <f>125576.34+27832.24</f>
        <v>153408.57999999999</v>
      </c>
    </row>
    <row r="14" spans="1:3" ht="77.5">
      <c r="A14" s="3" t="s">
        <v>14</v>
      </c>
      <c r="B14" s="4">
        <f t="shared" si="0"/>
        <v>8556.8183333333345</v>
      </c>
      <c r="C14" s="1">
        <f>27756.08+74925.74</f>
        <v>102681.82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6533.5</v>
      </c>
      <c r="C16" s="1">
        <v>78402</v>
      </c>
    </row>
    <row r="17" spans="1:3" ht="15.5">
      <c r="A17" s="1" t="s">
        <v>17</v>
      </c>
      <c r="B17" s="4">
        <f t="shared" si="0"/>
        <v>1862.11</v>
      </c>
      <c r="C17" s="1">
        <v>22345.32</v>
      </c>
    </row>
    <row r="18" spans="1:3" ht="15.5">
      <c r="A18" s="1" t="s">
        <v>18</v>
      </c>
      <c r="B18" s="4">
        <f t="shared" si="0"/>
        <v>29.790000000000003</v>
      </c>
      <c r="C18" s="1">
        <v>357.48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703.02666666666664</v>
      </c>
      <c r="C20" s="1">
        <v>8436.32</v>
      </c>
    </row>
    <row r="21" spans="1:3" ht="15.5">
      <c r="A21" s="1" t="s">
        <v>21</v>
      </c>
      <c r="B21" s="4">
        <f t="shared" si="0"/>
        <v>1231.5441666666668</v>
      </c>
      <c r="C21" s="1">
        <v>14778.53</v>
      </c>
    </row>
    <row r="22" spans="1:3" ht="15.5">
      <c r="A22" s="1" t="s">
        <v>22</v>
      </c>
      <c r="B22" s="4">
        <f t="shared" si="0"/>
        <v>4375.6925000000001</v>
      </c>
      <c r="C22" s="1">
        <v>52508.31</v>
      </c>
    </row>
    <row r="23" spans="1:3" ht="15.5">
      <c r="A23" s="1" t="s">
        <v>23</v>
      </c>
      <c r="B23" s="4">
        <f t="shared" si="0"/>
        <v>43.017500000000005</v>
      </c>
      <c r="C23" s="1">
        <v>516.21</v>
      </c>
    </row>
    <row r="24" spans="1:3" ht="15.5">
      <c r="A24" s="1" t="s">
        <v>24</v>
      </c>
      <c r="B24" s="4">
        <f t="shared" si="0"/>
        <v>2537.1974999999998</v>
      </c>
      <c r="C24" s="1">
        <v>30446.37</v>
      </c>
    </row>
    <row r="25" spans="1:3" ht="15.5">
      <c r="A25" s="1" t="s">
        <v>25</v>
      </c>
      <c r="B25" s="4">
        <f t="shared" si="0"/>
        <v>206.42499999999998</v>
      </c>
      <c r="C25" s="1">
        <v>2477.1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11041.262499999999</v>
      </c>
      <c r="C27" s="1">
        <v>132495.15</v>
      </c>
    </row>
    <row r="28" spans="1:3" ht="23.5" customHeight="1">
      <c r="A28" s="2" t="s">
        <v>28</v>
      </c>
      <c r="B28" s="4">
        <f t="shared" si="0"/>
        <v>49904.432500000003</v>
      </c>
      <c r="C28" s="2">
        <f>SUM(C13:C27)</f>
        <v>598853.19000000006</v>
      </c>
    </row>
    <row r="29" spans="1:3" ht="19" customHeight="1">
      <c r="A29" s="2" t="s">
        <v>29</v>
      </c>
      <c r="B29" s="1"/>
      <c r="C29" s="2"/>
    </row>
    <row r="30" spans="1:3" ht="24.5" customHeight="1">
      <c r="A30" s="2" t="s">
        <v>30</v>
      </c>
      <c r="B30" s="1"/>
      <c r="C30" s="2">
        <v>30870.86</v>
      </c>
    </row>
    <row r="31" spans="1:3" ht="47.5" customHeight="1">
      <c r="A31" s="3" t="s">
        <v>31</v>
      </c>
      <c r="B31" s="1"/>
      <c r="C31" s="1">
        <v>129166.34</v>
      </c>
    </row>
    <row r="32" spans="1:3" ht="62" hidden="1">
      <c r="A32" s="3" t="s">
        <v>32</v>
      </c>
      <c r="B32" s="1"/>
      <c r="C32" s="1"/>
    </row>
    <row r="33" spans="1:3" ht="33" customHeight="1">
      <c r="A33" s="2" t="s">
        <v>33</v>
      </c>
      <c r="B33" s="2"/>
      <c r="C33" s="2">
        <v>-160037.20000000001</v>
      </c>
    </row>
    <row r="34" spans="1:3" ht="36.5" customHeight="1">
      <c r="A34" s="1" t="s">
        <v>34</v>
      </c>
      <c r="B34" s="1"/>
      <c r="C34" s="1"/>
    </row>
    <row r="35" spans="1:3" ht="30" customHeight="1">
      <c r="A35" s="1" t="s">
        <v>35</v>
      </c>
      <c r="B35" s="1"/>
      <c r="C35" s="1"/>
    </row>
    <row r="36" spans="1:3" ht="37" customHeight="1">
      <c r="A36" s="1" t="s">
        <v>64</v>
      </c>
      <c r="B36" s="1"/>
      <c r="C36" s="1"/>
    </row>
    <row r="37" spans="1:3" ht="28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7"/>
  <sheetViews>
    <sheetView topLeftCell="A34" workbookViewId="0">
      <selection sqref="A1:C38"/>
    </sheetView>
  </sheetViews>
  <sheetFormatPr defaultRowHeight="14.5"/>
  <cols>
    <col min="1" max="1" width="47" customWidth="1"/>
    <col min="2" max="2" width="20.26953125" customWidth="1"/>
    <col min="3" max="3" width="13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67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-54218.77</v>
      </c>
    </row>
    <row r="9" spans="1:3" ht="33" customHeight="1">
      <c r="A9" s="3" t="s">
        <v>9</v>
      </c>
      <c r="B9" s="4">
        <f>C9/12</f>
        <v>66624.230833333335</v>
      </c>
      <c r="C9" s="1">
        <v>799490.77</v>
      </c>
    </row>
    <row r="10" spans="1:3" ht="46" customHeight="1">
      <c r="A10" s="3" t="s">
        <v>10</v>
      </c>
      <c r="B10" s="4">
        <f t="shared" ref="B10:B28" si="0">C10/12</f>
        <v>3131</v>
      </c>
      <c r="C10" s="1">
        <v>37572</v>
      </c>
    </row>
    <row r="11" spans="1:3" ht="18" customHeight="1">
      <c r="A11" s="2" t="s">
        <v>11</v>
      </c>
      <c r="B11" s="4">
        <f t="shared" si="0"/>
        <v>69755.230833333335</v>
      </c>
      <c r="C11" s="2">
        <f>SUM(C9:C10)</f>
        <v>837062.77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13852.342499999999</v>
      </c>
      <c r="C13" s="1">
        <f>136070.09+30158.02</f>
        <v>166228.10999999999</v>
      </c>
    </row>
    <row r="14" spans="1:3" ht="77.5">
      <c r="A14" s="3" t="s">
        <v>14</v>
      </c>
      <c r="B14" s="4">
        <f t="shared" si="0"/>
        <v>12334.078333333333</v>
      </c>
      <c r="C14" s="1">
        <f>64990.26+83018.68</f>
        <v>148008.94</v>
      </c>
    </row>
    <row r="15" spans="1:3" ht="46.5" customHeight="1">
      <c r="A15" s="3" t="s">
        <v>15</v>
      </c>
      <c r="B15" s="4">
        <f t="shared" si="0"/>
        <v>5479.0800000000008</v>
      </c>
      <c r="C15" s="1">
        <v>65748.960000000006</v>
      </c>
    </row>
    <row r="16" spans="1:3" ht="15.5">
      <c r="A16" s="1" t="s">
        <v>16</v>
      </c>
      <c r="B16" s="4">
        <f t="shared" si="0"/>
        <v>15477</v>
      </c>
      <c r="C16" s="1">
        <v>185724</v>
      </c>
    </row>
    <row r="17" spans="1:3" ht="15.5">
      <c r="A17" s="1" t="s">
        <v>17</v>
      </c>
      <c r="B17" s="4">
        <f t="shared" si="0"/>
        <v>1860.7700000000002</v>
      </c>
      <c r="C17" s="1">
        <v>22329.24</v>
      </c>
    </row>
    <row r="18" spans="1:3" ht="15.5">
      <c r="A18" s="1" t="s">
        <v>18</v>
      </c>
      <c r="B18" s="4">
        <f t="shared" si="0"/>
        <v>286.55</v>
      </c>
      <c r="C18" s="1">
        <v>3438.6</v>
      </c>
    </row>
    <row r="19" spans="1:3" ht="15.5">
      <c r="A19" s="1" t="s">
        <v>19</v>
      </c>
      <c r="B19" s="4">
        <f t="shared" si="0"/>
        <v>8636.18</v>
      </c>
      <c r="C19" s="1">
        <v>103634.16</v>
      </c>
    </row>
    <row r="20" spans="1:3" ht="15.5">
      <c r="A20" s="1" t="s">
        <v>20</v>
      </c>
      <c r="B20" s="4">
        <f t="shared" si="0"/>
        <v>801.89</v>
      </c>
      <c r="C20" s="1">
        <v>9622.68</v>
      </c>
    </row>
    <row r="21" spans="1:3" ht="15.5">
      <c r="A21" s="1" t="s">
        <v>21</v>
      </c>
      <c r="B21" s="4">
        <f t="shared" si="0"/>
        <v>1859.5408333333335</v>
      </c>
      <c r="C21" s="1">
        <v>22314.49</v>
      </c>
    </row>
    <row r="22" spans="1:3" ht="15.5">
      <c r="A22" s="1" t="s">
        <v>22</v>
      </c>
      <c r="B22" s="4">
        <f t="shared" si="0"/>
        <v>4374.7908333333335</v>
      </c>
      <c r="C22" s="1">
        <v>52497.49</v>
      </c>
    </row>
    <row r="23" spans="1:3" ht="15.5">
      <c r="A23" s="1" t="s">
        <v>23</v>
      </c>
      <c r="B23" s="4">
        <f t="shared" si="0"/>
        <v>51.000833333333333</v>
      </c>
      <c r="C23" s="1">
        <v>612.01</v>
      </c>
    </row>
    <row r="24" spans="1:3" ht="15.5">
      <c r="A24" s="1" t="s">
        <v>24</v>
      </c>
      <c r="B24" s="4">
        <f t="shared" si="0"/>
        <v>3615.6166666666668</v>
      </c>
      <c r="C24" s="1">
        <v>43387.4</v>
      </c>
    </row>
    <row r="25" spans="1:3" ht="15.5">
      <c r="A25" s="1" t="s">
        <v>25</v>
      </c>
      <c r="B25" s="4">
        <f t="shared" si="0"/>
        <v>133.88916666666668</v>
      </c>
      <c r="C25" s="1">
        <v>1606.67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11038.985833333332</v>
      </c>
      <c r="C27" s="1">
        <v>132467.82999999999</v>
      </c>
    </row>
    <row r="28" spans="1:3" ht="15.5">
      <c r="A28" s="2" t="s">
        <v>28</v>
      </c>
      <c r="B28" s="4">
        <f t="shared" si="0"/>
        <v>79801.715000000011</v>
      </c>
      <c r="C28" s="2">
        <f>SUM(C13:C27)</f>
        <v>957620.58000000007</v>
      </c>
    </row>
    <row r="29" spans="1:3" ht="23.5" customHeight="1">
      <c r="A29" s="2" t="s">
        <v>29</v>
      </c>
      <c r="B29" s="1"/>
      <c r="C29" s="2"/>
    </row>
    <row r="30" spans="1:3" ht="23.5" customHeight="1">
      <c r="A30" s="2" t="s">
        <v>30</v>
      </c>
      <c r="B30" s="1"/>
      <c r="C30" s="2">
        <v>174776.58</v>
      </c>
    </row>
    <row r="31" spans="1:3" ht="42.5" customHeight="1">
      <c r="A31" s="3" t="s">
        <v>31</v>
      </c>
      <c r="B31" s="1"/>
      <c r="C31" s="1">
        <v>171323.51999999999</v>
      </c>
    </row>
    <row r="32" spans="1:3" ht="1.5" customHeight="1">
      <c r="A32" s="3" t="s">
        <v>32</v>
      </c>
      <c r="B32" s="1"/>
      <c r="C32" s="1"/>
    </row>
    <row r="33" spans="1:3" ht="28" customHeight="1">
      <c r="A33" s="2" t="s">
        <v>33</v>
      </c>
      <c r="B33" s="2"/>
      <c r="C33" s="2">
        <v>-346100.1</v>
      </c>
    </row>
    <row r="34" spans="1:3" ht="48.5" customHeight="1">
      <c r="A34" s="1" t="s">
        <v>34</v>
      </c>
      <c r="B34" s="1"/>
      <c r="C34" s="1"/>
    </row>
    <row r="35" spans="1:3" ht="46" customHeight="1">
      <c r="A35" s="1" t="s">
        <v>35</v>
      </c>
      <c r="B35" s="1"/>
      <c r="C35" s="1"/>
    </row>
    <row r="36" spans="1:3" ht="36.5" customHeight="1">
      <c r="A36" s="1" t="s">
        <v>64</v>
      </c>
      <c r="B36" s="1"/>
      <c r="C36" s="1"/>
    </row>
    <row r="37" spans="1:3" ht="3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4" sqref="C34"/>
    </sheetView>
  </sheetViews>
  <sheetFormatPr defaultRowHeight="14.5"/>
  <cols>
    <col min="1" max="1" width="45.54296875" customWidth="1"/>
    <col min="2" max="2" width="14.81640625" customWidth="1"/>
    <col min="3" max="3" width="14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68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-123774.44</v>
      </c>
    </row>
    <row r="9" spans="1:3" ht="48" customHeight="1">
      <c r="A9" s="3" t="s">
        <v>9</v>
      </c>
      <c r="B9" s="4">
        <f>C9/12</f>
        <v>50005.584166666667</v>
      </c>
      <c r="C9" s="1">
        <v>600067.01</v>
      </c>
    </row>
    <row r="10" spans="1:3" ht="45" customHeight="1">
      <c r="A10" s="3" t="s">
        <v>10</v>
      </c>
      <c r="B10" s="4">
        <f t="shared" ref="B10:B28" si="0">C10/12</f>
        <v>1570.6666666666667</v>
      </c>
      <c r="C10" s="1">
        <v>18848</v>
      </c>
    </row>
    <row r="11" spans="1:3" ht="17.5" customHeight="1">
      <c r="A11" s="2" t="s">
        <v>11</v>
      </c>
      <c r="B11" s="4">
        <f t="shared" si="0"/>
        <v>51576.250833333332</v>
      </c>
      <c r="C11" s="2">
        <f>SUM(C9:C10)</f>
        <v>618915.01</v>
      </c>
    </row>
    <row r="12" spans="1:3" ht="20.5" customHeight="1">
      <c r="A12" s="2" t="s">
        <v>12</v>
      </c>
      <c r="B12" s="4">
        <f t="shared" si="0"/>
        <v>0</v>
      </c>
      <c r="C12" s="1"/>
    </row>
    <row r="13" spans="1:3" ht="78.5" customHeight="1">
      <c r="A13" s="3" t="s">
        <v>13</v>
      </c>
      <c r="B13" s="4">
        <f t="shared" si="0"/>
        <v>12304.685833333335</v>
      </c>
      <c r="C13" s="1">
        <f>120867.63+26788.6</f>
        <v>147656.23000000001</v>
      </c>
    </row>
    <row r="14" spans="1:3" ht="77.5">
      <c r="A14" s="3" t="s">
        <v>14</v>
      </c>
      <c r="B14" s="4">
        <f t="shared" si="0"/>
        <v>12990.993333333332</v>
      </c>
      <c r="C14" s="1">
        <f>58236.78+97655.14</f>
        <v>155891.91999999998</v>
      </c>
    </row>
    <row r="15" spans="1:3" ht="50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7909.333333333333</v>
      </c>
      <c r="C16" s="1">
        <v>94912</v>
      </c>
    </row>
    <row r="17" spans="1:3" ht="15.5">
      <c r="A17" s="1" t="s">
        <v>17</v>
      </c>
      <c r="B17" s="4">
        <f t="shared" si="0"/>
        <v>1649.8100000000002</v>
      </c>
      <c r="C17" s="1">
        <v>19797.72</v>
      </c>
    </row>
    <row r="18" spans="1:3" ht="15.5">
      <c r="A18" s="1" t="s">
        <v>18</v>
      </c>
      <c r="B18" s="4">
        <f t="shared" si="0"/>
        <v>204.16</v>
      </c>
      <c r="C18" s="1">
        <v>2449.92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823.85916666666662</v>
      </c>
      <c r="C20" s="1">
        <v>9886.31</v>
      </c>
    </row>
    <row r="21" spans="1:3" ht="15.5">
      <c r="A21" s="1" t="s">
        <v>21</v>
      </c>
      <c r="B21" s="4">
        <f t="shared" si="0"/>
        <v>1279.6158333333333</v>
      </c>
      <c r="C21" s="1">
        <v>15355.39</v>
      </c>
    </row>
    <row r="22" spans="1:3" ht="15.5">
      <c r="A22" s="1" t="s">
        <v>22</v>
      </c>
      <c r="B22" s="4">
        <f t="shared" si="0"/>
        <v>3876.709166666667</v>
      </c>
      <c r="C22" s="1">
        <v>46520.51</v>
      </c>
    </row>
    <row r="23" spans="1:3" ht="15.5">
      <c r="A23" s="1" t="s">
        <v>23</v>
      </c>
      <c r="B23" s="4">
        <f t="shared" si="0"/>
        <v>50.113333333333337</v>
      </c>
      <c r="C23" s="1">
        <v>601.36</v>
      </c>
    </row>
    <row r="24" spans="1:3" ht="15.5">
      <c r="A24" s="1" t="s">
        <v>24</v>
      </c>
      <c r="B24" s="4">
        <f t="shared" si="0"/>
        <v>2500.5708333333332</v>
      </c>
      <c r="C24" s="1">
        <v>30006.85</v>
      </c>
    </row>
    <row r="25" spans="1:3" ht="15.5">
      <c r="A25" s="1" t="s">
        <v>25</v>
      </c>
      <c r="B25" s="4">
        <f t="shared" si="0"/>
        <v>252.65333333333334</v>
      </c>
      <c r="C25" s="1">
        <v>3031.84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8115.501666666667</v>
      </c>
      <c r="C27" s="1">
        <v>97386.02</v>
      </c>
    </row>
    <row r="28" spans="1:3" ht="15.5">
      <c r="A28" s="2" t="s">
        <v>28</v>
      </c>
      <c r="B28" s="4">
        <f t="shared" si="0"/>
        <v>51958.005833333329</v>
      </c>
      <c r="C28" s="2">
        <f>SUM(C13:C27)</f>
        <v>623496.06999999995</v>
      </c>
    </row>
    <row r="29" spans="1:3" ht="21.5" customHeight="1">
      <c r="A29" s="2" t="s">
        <v>29</v>
      </c>
      <c r="B29" s="1"/>
      <c r="C29" s="2"/>
    </row>
    <row r="30" spans="1:3" ht="23" customHeight="1">
      <c r="A30" s="2" t="s">
        <v>30</v>
      </c>
      <c r="B30" s="1"/>
      <c r="C30" s="2">
        <v>128355.5</v>
      </c>
    </row>
    <row r="31" spans="1:3" ht="31">
      <c r="A31" s="3" t="s">
        <v>31</v>
      </c>
      <c r="B31" s="1"/>
      <c r="C31" s="1">
        <v>15802.57</v>
      </c>
    </row>
    <row r="32" spans="1:3" ht="0.5" customHeight="1">
      <c r="A32" s="3" t="s">
        <v>32</v>
      </c>
      <c r="B32" s="1"/>
      <c r="C32" s="1"/>
    </row>
    <row r="33" spans="1:3" ht="27" customHeight="1">
      <c r="A33" s="2" t="s">
        <v>33</v>
      </c>
      <c r="B33" s="2"/>
      <c r="C33" s="2">
        <v>-144158.07</v>
      </c>
    </row>
    <row r="34" spans="1:3" ht="32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4" sqref="C34"/>
    </sheetView>
  </sheetViews>
  <sheetFormatPr defaultRowHeight="14.5"/>
  <cols>
    <col min="1" max="1" width="44.54296875" customWidth="1"/>
    <col min="2" max="2" width="17.81640625" customWidth="1"/>
    <col min="3" max="3" width="17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69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-179880.76</v>
      </c>
    </row>
    <row r="9" spans="1:3" ht="43" customHeight="1">
      <c r="A9" s="3" t="s">
        <v>9</v>
      </c>
      <c r="B9" s="4">
        <f>C9/12</f>
        <v>48713.606666666667</v>
      </c>
      <c r="C9" s="1">
        <v>584563.28</v>
      </c>
    </row>
    <row r="10" spans="1:3" ht="48.5" customHeight="1">
      <c r="A10" s="3" t="s">
        <v>10</v>
      </c>
      <c r="B10" s="4">
        <f t="shared" ref="B10:B28" si="0">C10/12</f>
        <v>3073.3274999999999</v>
      </c>
      <c r="C10" s="1">
        <f>8031.93+28848</f>
        <v>36879.93</v>
      </c>
    </row>
    <row r="11" spans="1:3" ht="16" customHeight="1">
      <c r="A11" s="2" t="s">
        <v>11</v>
      </c>
      <c r="B11" s="4">
        <f t="shared" si="0"/>
        <v>51786.934166666673</v>
      </c>
      <c r="C11" s="2">
        <f>SUM(C9:C10)</f>
        <v>621443.21000000008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12399.819166666666</v>
      </c>
      <c r="C13" s="1">
        <f>121802.12+26995.71</f>
        <v>148797.82999999999</v>
      </c>
    </row>
    <row r="14" spans="1:3" ht="77.5">
      <c r="A14" s="3" t="s">
        <v>14</v>
      </c>
      <c r="B14" s="4">
        <f t="shared" si="0"/>
        <v>16338.545</v>
      </c>
      <c r="C14" s="1">
        <f>64078.5+131984.04</f>
        <v>196062.54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3111.0833333333335</v>
      </c>
      <c r="C16" s="1">
        <v>37333</v>
      </c>
    </row>
    <row r="17" spans="1:3" ht="15.5">
      <c r="A17" s="1" t="s">
        <v>17</v>
      </c>
      <c r="B17" s="4">
        <f t="shared" si="0"/>
        <v>1637.82</v>
      </c>
      <c r="C17" s="1">
        <v>19653.84</v>
      </c>
    </row>
    <row r="18" spans="1:3" ht="15.5">
      <c r="A18" s="1" t="s">
        <v>18</v>
      </c>
      <c r="B18" s="4">
        <f t="shared" si="0"/>
        <v>206.82000000000002</v>
      </c>
      <c r="C18" s="1">
        <v>2481.84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757.95083333333332</v>
      </c>
      <c r="C20" s="1">
        <v>9095.41</v>
      </c>
    </row>
    <row r="21" spans="1:3" ht="15.5">
      <c r="A21" s="1" t="s">
        <v>21</v>
      </c>
      <c r="B21" s="4">
        <f t="shared" si="0"/>
        <v>1253.3700000000001</v>
      </c>
      <c r="C21" s="1">
        <v>15040.44</v>
      </c>
    </row>
    <row r="22" spans="1:3" ht="15.5">
      <c r="A22" s="1" t="s">
        <v>22</v>
      </c>
      <c r="B22" s="4">
        <f t="shared" si="0"/>
        <v>3015.9908333333333</v>
      </c>
      <c r="C22" s="1">
        <v>36191.89</v>
      </c>
    </row>
    <row r="23" spans="1:3" ht="15.5">
      <c r="A23" s="1" t="s">
        <v>23</v>
      </c>
      <c r="B23" s="4">
        <f t="shared" si="0"/>
        <v>46.566666666666663</v>
      </c>
      <c r="C23" s="1">
        <v>558.79999999999995</v>
      </c>
    </row>
    <row r="24" spans="1:3" ht="15.5">
      <c r="A24" s="1" t="s">
        <v>24</v>
      </c>
      <c r="B24" s="4">
        <f t="shared" si="0"/>
        <v>2008.4358333333332</v>
      </c>
      <c r="C24" s="1">
        <v>24101.23</v>
      </c>
    </row>
    <row r="25" spans="1:3" ht="15.5">
      <c r="A25" s="1" t="s">
        <v>25</v>
      </c>
      <c r="B25" s="4">
        <f t="shared" si="0"/>
        <v>219.78666666666666</v>
      </c>
      <c r="C25" s="1">
        <v>2637.44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7213.0666666666666</v>
      </c>
      <c r="C27" s="1">
        <v>86556.800000000003</v>
      </c>
    </row>
    <row r="28" spans="1:3" ht="15.5">
      <c r="A28" s="2" t="s">
        <v>28</v>
      </c>
      <c r="B28" s="4">
        <f t="shared" si="0"/>
        <v>48209.255000000005</v>
      </c>
      <c r="C28" s="2">
        <f>SUM(C13:C27)</f>
        <v>578511.06000000006</v>
      </c>
    </row>
    <row r="29" spans="1:3" ht="21.5" customHeight="1">
      <c r="A29" s="2" t="s">
        <v>29</v>
      </c>
      <c r="B29" s="1"/>
      <c r="C29" s="2"/>
    </row>
    <row r="30" spans="1:3" ht="26.5" customHeight="1">
      <c r="A30" s="2" t="s">
        <v>30</v>
      </c>
      <c r="B30" s="1"/>
      <c r="C30" s="2">
        <v>136948.60999999999</v>
      </c>
    </row>
    <row r="31" spans="1:3" ht="40" customHeight="1">
      <c r="A31" s="3" t="s">
        <v>31</v>
      </c>
      <c r="B31" s="1"/>
      <c r="C31" s="1">
        <v>61112.78</v>
      </c>
    </row>
    <row r="32" spans="1:3" ht="62" hidden="1">
      <c r="A32" s="3" t="s">
        <v>32</v>
      </c>
      <c r="B32" s="1"/>
      <c r="C32" s="1"/>
    </row>
    <row r="33" spans="1:3" ht="28.5" customHeight="1">
      <c r="A33" s="2" t="s">
        <v>33</v>
      </c>
      <c r="B33" s="2"/>
      <c r="C33" s="2">
        <v>-198061.39</v>
      </c>
    </row>
    <row r="34" spans="1:3" ht="38" customHeight="1">
      <c r="A34" s="1" t="s">
        <v>34</v>
      </c>
      <c r="B34" s="1"/>
      <c r="C34" s="1"/>
    </row>
    <row r="35" spans="1:3" ht="36" customHeight="1">
      <c r="A35" s="1" t="s">
        <v>35</v>
      </c>
      <c r="B35" s="1"/>
      <c r="C35" s="1"/>
    </row>
    <row r="36" spans="1:3" ht="22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1" sqref="C31"/>
    </sheetView>
  </sheetViews>
  <sheetFormatPr defaultRowHeight="14.5"/>
  <cols>
    <col min="1" max="1" width="44.1796875" customWidth="1"/>
    <col min="2" max="2" width="17.6328125" customWidth="1"/>
    <col min="3" max="3" width="17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70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-162616.65</v>
      </c>
    </row>
    <row r="9" spans="1:3" ht="46" customHeight="1">
      <c r="A9" s="3" t="s">
        <v>9</v>
      </c>
      <c r="B9" s="4">
        <f>C9/12</f>
        <v>43768.293333333335</v>
      </c>
      <c r="C9" s="1">
        <v>525219.52</v>
      </c>
    </row>
    <row r="10" spans="1:3" ht="50.5" customHeight="1">
      <c r="A10" s="3" t="s">
        <v>10</v>
      </c>
      <c r="B10" s="4">
        <f t="shared" ref="B10:B28" si="0">C10/12</f>
        <v>4401.4025000000001</v>
      </c>
      <c r="C10" s="1">
        <f>44289.83+8527</f>
        <v>52816.83</v>
      </c>
    </row>
    <row r="11" spans="1:3" ht="15" customHeight="1">
      <c r="A11" s="2" t="s">
        <v>11</v>
      </c>
      <c r="B11" s="4">
        <f t="shared" si="0"/>
        <v>48169.695833333331</v>
      </c>
      <c r="C11" s="2">
        <f>SUM(C9:C10)</f>
        <v>578036.35</v>
      </c>
    </row>
    <row r="12" spans="1:3" ht="12.5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12118.253333333334</v>
      </c>
      <c r="C13" s="1">
        <f>119036.32+26382.72</f>
        <v>145419.04</v>
      </c>
    </row>
    <row r="14" spans="1:3" ht="77.5">
      <c r="A14" s="3" t="s">
        <v>14</v>
      </c>
      <c r="B14" s="4">
        <f t="shared" si="0"/>
        <v>11942.33</v>
      </c>
      <c r="C14" s="1">
        <f>51780.18+91527.78</f>
        <v>143307.96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4929.125</v>
      </c>
      <c r="C16" s="1">
        <v>59149.5</v>
      </c>
    </row>
    <row r="17" spans="1:3" ht="15.5">
      <c r="A17" s="1" t="s">
        <v>17</v>
      </c>
      <c r="B17" s="4">
        <f t="shared" si="0"/>
        <v>1634.93</v>
      </c>
      <c r="C17" s="1">
        <v>19619.16</v>
      </c>
    </row>
    <row r="18" spans="1:3" ht="15.5">
      <c r="A18" s="1" t="s">
        <v>18</v>
      </c>
      <c r="B18" s="4">
        <f t="shared" si="0"/>
        <v>157.76</v>
      </c>
      <c r="C18" s="1">
        <v>1893.12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1735.5966666666666</v>
      </c>
      <c r="C20" s="1">
        <v>20827.16</v>
      </c>
    </row>
    <row r="21" spans="1:3" ht="15.5">
      <c r="A21" s="1" t="s">
        <v>21</v>
      </c>
      <c r="B21" s="4">
        <f t="shared" si="0"/>
        <v>1203.7250000000001</v>
      </c>
      <c r="C21" s="1">
        <v>14444.7</v>
      </c>
    </row>
    <row r="22" spans="1:3" ht="15.5">
      <c r="A22" s="1" t="s">
        <v>22</v>
      </c>
      <c r="B22" s="4">
        <f t="shared" si="0"/>
        <v>3881.2208333333333</v>
      </c>
      <c r="C22" s="1">
        <v>46574.65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2280.8049999999998</v>
      </c>
      <c r="C24" s="1">
        <v>27369.66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8960.2191666666677</v>
      </c>
      <c r="C27" s="1">
        <v>107522.63</v>
      </c>
    </row>
    <row r="28" spans="1:3" ht="15.5">
      <c r="A28" s="2" t="s">
        <v>28</v>
      </c>
      <c r="B28" s="4">
        <f t="shared" si="0"/>
        <v>48843.964999999997</v>
      </c>
      <c r="C28" s="2">
        <f>SUM(C13:C27)</f>
        <v>586127.57999999996</v>
      </c>
    </row>
    <row r="29" spans="1:3" ht="25.5" customHeight="1">
      <c r="A29" s="2" t="s">
        <v>29</v>
      </c>
      <c r="B29" s="1"/>
      <c r="C29" s="2"/>
    </row>
    <row r="30" spans="1:3" ht="25" customHeight="1">
      <c r="A30" s="2" t="s">
        <v>30</v>
      </c>
      <c r="B30" s="1"/>
      <c r="C30" s="2">
        <v>170707.88</v>
      </c>
    </row>
    <row r="31" spans="1:3" ht="46" customHeight="1">
      <c r="A31" s="3" t="s">
        <v>31</v>
      </c>
      <c r="B31" s="1"/>
      <c r="C31" s="1">
        <v>76183.08</v>
      </c>
    </row>
    <row r="32" spans="1:3" ht="62" hidden="1">
      <c r="A32" s="3" t="s">
        <v>32</v>
      </c>
      <c r="B32" s="1"/>
      <c r="C32" s="1"/>
    </row>
    <row r="33" spans="1:3" ht="33" customHeight="1">
      <c r="A33" s="2" t="s">
        <v>33</v>
      </c>
      <c r="B33" s="2"/>
      <c r="C33" s="2">
        <v>-246890.96</v>
      </c>
    </row>
    <row r="34" spans="1:3" ht="30.5" customHeight="1">
      <c r="A34" s="1" t="s">
        <v>34</v>
      </c>
      <c r="B34" s="1"/>
      <c r="C34" s="1"/>
    </row>
    <row r="35" spans="1:3" ht="34" customHeight="1">
      <c r="A35" s="1" t="s">
        <v>35</v>
      </c>
      <c r="B35" s="1"/>
      <c r="C35" s="1"/>
    </row>
    <row r="36" spans="1:3" ht="31.5" customHeight="1">
      <c r="A36" s="1" t="s">
        <v>64</v>
      </c>
      <c r="B36" s="1"/>
      <c r="C36" s="1"/>
    </row>
    <row r="37" spans="1:3" ht="3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5.26953125" customWidth="1"/>
    <col min="2" max="2" width="16" customWidth="1"/>
    <col min="3" max="3" width="17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71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-213422.25</v>
      </c>
    </row>
    <row r="9" spans="1:3" ht="44.5" customHeight="1">
      <c r="A9" s="3" t="s">
        <v>9</v>
      </c>
      <c r="B9" s="4">
        <f>C9/12</f>
        <v>45452.21</v>
      </c>
      <c r="C9" s="1">
        <v>545426.52</v>
      </c>
    </row>
    <row r="10" spans="1:3" ht="44.5" customHeight="1">
      <c r="A10" s="3" t="s">
        <v>10</v>
      </c>
      <c r="B10" s="4">
        <f t="shared" ref="B10:B28" si="0">C10/12</f>
        <v>1120.875</v>
      </c>
      <c r="C10" s="1">
        <v>13450.5</v>
      </c>
    </row>
    <row r="11" spans="1:3" ht="17" customHeight="1">
      <c r="A11" s="2" t="s">
        <v>11</v>
      </c>
      <c r="B11" s="4">
        <f t="shared" si="0"/>
        <v>46573.084999999999</v>
      </c>
      <c r="C11" s="2">
        <f>SUM(C9:C10)</f>
        <v>558877.02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10852.72</v>
      </c>
      <c r="C13" s="1">
        <f>106605.12+23627.52</f>
        <v>130232.64</v>
      </c>
    </row>
    <row r="14" spans="1:3" ht="77.5">
      <c r="A14" s="3" t="s">
        <v>14</v>
      </c>
      <c r="B14" s="4">
        <f t="shared" si="0"/>
        <v>11942.33</v>
      </c>
      <c r="C14" s="1">
        <f>51780.18+91527.78</f>
        <v>143307.96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9004.9583333333339</v>
      </c>
      <c r="C16" s="1">
        <v>108059.5</v>
      </c>
    </row>
    <row r="17" spans="1:3" ht="15.5">
      <c r="A17" s="1" t="s">
        <v>17</v>
      </c>
      <c r="B17" s="4">
        <f t="shared" si="0"/>
        <v>1453.25</v>
      </c>
      <c r="C17" s="1">
        <v>17439</v>
      </c>
    </row>
    <row r="18" spans="1:3" ht="15.5">
      <c r="A18" s="1" t="s">
        <v>18</v>
      </c>
      <c r="B18" s="4">
        <f t="shared" si="0"/>
        <v>159.24</v>
      </c>
      <c r="C18" s="1">
        <v>1910.88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1735.5966666666666</v>
      </c>
      <c r="C20" s="1">
        <v>20827.16</v>
      </c>
    </row>
    <row r="21" spans="1:3" ht="15.5">
      <c r="A21" s="1" t="s">
        <v>21</v>
      </c>
      <c r="B21" s="4">
        <f t="shared" si="0"/>
        <v>1092.3916666666667</v>
      </c>
      <c r="C21" s="1">
        <v>13108.7</v>
      </c>
    </row>
    <row r="22" spans="1:3" ht="15.5">
      <c r="A22" s="1" t="s">
        <v>22</v>
      </c>
      <c r="B22" s="4">
        <f t="shared" si="0"/>
        <v>3414.7208333333333</v>
      </c>
      <c r="C22" s="1">
        <v>40976.65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2198.0483333333336</v>
      </c>
      <c r="C24" s="1">
        <v>26376.58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6949.7583333333341</v>
      </c>
      <c r="C27" s="1">
        <v>83397.100000000006</v>
      </c>
    </row>
    <row r="28" spans="1:3" ht="15.5">
      <c r="A28" s="2" t="s">
        <v>28</v>
      </c>
      <c r="B28" s="4">
        <f t="shared" si="0"/>
        <v>48803.014166666668</v>
      </c>
      <c r="C28" s="2">
        <f>SUM(C13:C27)</f>
        <v>585636.17000000004</v>
      </c>
    </row>
    <row r="29" spans="1:3" ht="24" customHeight="1">
      <c r="A29" s="2" t="s">
        <v>29</v>
      </c>
      <c r="B29" s="1"/>
      <c r="C29" s="2"/>
    </row>
    <row r="30" spans="1:3" ht="22.5" customHeight="1">
      <c r="A30" s="2" t="s">
        <v>30</v>
      </c>
      <c r="B30" s="1"/>
      <c r="C30" s="2">
        <v>240181.4</v>
      </c>
    </row>
    <row r="31" spans="1:3" ht="42.5" customHeight="1">
      <c r="A31" s="3" t="s">
        <v>31</v>
      </c>
      <c r="B31" s="1"/>
      <c r="C31" s="1">
        <v>109923.64</v>
      </c>
    </row>
    <row r="32" spans="1:3" ht="62" hidden="1">
      <c r="A32" s="3" t="s">
        <v>32</v>
      </c>
      <c r="B32" s="1"/>
      <c r="C32" s="1"/>
    </row>
    <row r="33" spans="1:3" ht="27" customHeight="1">
      <c r="A33" s="2" t="s">
        <v>33</v>
      </c>
      <c r="B33" s="2"/>
      <c r="C33" s="2">
        <v>-350105.04</v>
      </c>
    </row>
    <row r="34" spans="1:3" ht="37.5" customHeight="1">
      <c r="A34" s="1" t="s">
        <v>34</v>
      </c>
      <c r="B34" s="1"/>
      <c r="C34" s="1"/>
    </row>
    <row r="35" spans="1:3" ht="39.5" customHeight="1">
      <c r="A35" s="1" t="s">
        <v>35</v>
      </c>
      <c r="B35" s="1"/>
      <c r="C35" s="1"/>
    </row>
    <row r="36" spans="1:3" ht="40.5" customHeight="1">
      <c r="A36" s="1" t="s">
        <v>64</v>
      </c>
      <c r="B36" s="1"/>
      <c r="C36" s="1"/>
    </row>
    <row r="37" spans="1:3" ht="32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A37" sqref="A37"/>
    </sheetView>
  </sheetViews>
  <sheetFormatPr defaultRowHeight="14.5"/>
  <cols>
    <col min="1" max="1" width="45.7265625" customWidth="1"/>
    <col min="2" max="2" width="13.08984375" customWidth="1"/>
    <col min="3" max="3" width="13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38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12778.25</v>
      </c>
    </row>
    <row r="9" spans="1:3" ht="45.5" customHeight="1">
      <c r="A9" s="3" t="s">
        <v>9</v>
      </c>
      <c r="B9" s="4">
        <f>C9/12</f>
        <v>63154.405833333331</v>
      </c>
      <c r="C9" s="1">
        <v>757852.87</v>
      </c>
    </row>
    <row r="10" spans="1:3" ht="49.5" customHeight="1">
      <c r="A10" s="3" t="s">
        <v>10</v>
      </c>
      <c r="B10" s="4">
        <f t="shared" ref="B10:B28" si="0">C10/12</f>
        <v>7511.2408333333333</v>
      </c>
      <c r="C10" s="1">
        <f>69722.89+20412</f>
        <v>90134.89</v>
      </c>
    </row>
    <row r="11" spans="1:3" ht="15.5">
      <c r="A11" s="2" t="s">
        <v>11</v>
      </c>
      <c r="B11" s="4">
        <f t="shared" si="0"/>
        <v>70665.646666666667</v>
      </c>
      <c r="C11" s="2">
        <f>SUM(C9:C10)</f>
        <v>847987.76</v>
      </c>
    </row>
    <row r="12" spans="1:3" ht="15.5">
      <c r="A12" s="2" t="s">
        <v>12</v>
      </c>
      <c r="B12" s="4">
        <f t="shared" si="0"/>
        <v>0</v>
      </c>
      <c r="C12" s="1"/>
    </row>
    <row r="13" spans="1:3" ht="79" customHeight="1">
      <c r="A13" s="3" t="s">
        <v>13</v>
      </c>
      <c r="B13" s="4">
        <f t="shared" si="0"/>
        <v>16963.396666666667</v>
      </c>
      <c r="C13" s="1">
        <f>166629.64+36931.12</f>
        <v>203560.76</v>
      </c>
    </row>
    <row r="14" spans="1:3" ht="76" customHeight="1">
      <c r="A14" s="3" t="s">
        <v>14</v>
      </c>
      <c r="B14" s="4">
        <f t="shared" si="0"/>
        <v>11429.341666666667</v>
      </c>
      <c r="C14" s="1">
        <f>42418.64+94733.46</f>
        <v>137152.1</v>
      </c>
    </row>
    <row r="15" spans="1:3" ht="66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3366.8866666666668</v>
      </c>
      <c r="C16" s="1">
        <v>40402.639999999999</v>
      </c>
    </row>
    <row r="17" spans="1:3" ht="15.5">
      <c r="A17" s="1" t="s">
        <v>17</v>
      </c>
      <c r="B17" s="4">
        <f t="shared" si="0"/>
        <v>2418.8200000000002</v>
      </c>
      <c r="C17" s="1">
        <v>29025.84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1208.3266666666666</v>
      </c>
      <c r="C20" s="1">
        <v>14499.92</v>
      </c>
    </row>
    <row r="21" spans="1:3" ht="15.5">
      <c r="A21" s="1" t="s">
        <v>21</v>
      </c>
      <c r="B21" s="4">
        <f t="shared" si="0"/>
        <v>1826.3225</v>
      </c>
      <c r="C21" s="1">
        <v>21915.87</v>
      </c>
    </row>
    <row r="22" spans="1:3" ht="15.5">
      <c r="A22" s="1" t="s">
        <v>22</v>
      </c>
      <c r="B22" s="4">
        <f t="shared" si="0"/>
        <v>5746.4308333333329</v>
      </c>
      <c r="C22" s="1">
        <v>68957.17</v>
      </c>
    </row>
    <row r="23" spans="1:3" ht="15.5">
      <c r="A23" s="1" t="s">
        <v>23</v>
      </c>
      <c r="B23" s="4">
        <f t="shared" si="0"/>
        <v>720.57499999999993</v>
      </c>
      <c r="C23" s="1">
        <v>8646.9</v>
      </c>
    </row>
    <row r="24" spans="1:3" ht="15.5">
      <c r="A24" s="1" t="s">
        <v>24</v>
      </c>
      <c r="B24" s="4">
        <f t="shared" si="0"/>
        <v>3662.8058333333333</v>
      </c>
      <c r="C24" s="1">
        <v>43953.67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14500.070833333333</v>
      </c>
      <c r="C27" s="1">
        <v>174000.85</v>
      </c>
    </row>
    <row r="28" spans="1:3" ht="15.5">
      <c r="A28" s="2" t="s">
        <v>28</v>
      </c>
      <c r="B28" s="4">
        <f t="shared" si="0"/>
        <v>61842.976666666662</v>
      </c>
      <c r="C28" s="2">
        <f>SUM(C13:C27)</f>
        <v>742115.72</v>
      </c>
    </row>
    <row r="29" spans="1:3" ht="15.5">
      <c r="A29" s="2" t="s">
        <v>29</v>
      </c>
      <c r="B29" s="1"/>
      <c r="C29" s="2">
        <v>118650.29</v>
      </c>
    </row>
    <row r="30" spans="1:3" ht="15.5">
      <c r="A30" s="2" t="s">
        <v>30</v>
      </c>
      <c r="B30" s="1"/>
      <c r="C30" s="2"/>
    </row>
    <row r="31" spans="1:3" ht="31">
      <c r="A31" s="3" t="s">
        <v>31</v>
      </c>
      <c r="B31" s="1"/>
      <c r="C31" s="1">
        <v>203544.1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-84893.81</v>
      </c>
    </row>
    <row r="34" spans="1:3" ht="38.5" customHeight="1">
      <c r="A34" s="1" t="s">
        <v>34</v>
      </c>
      <c r="B34" s="1"/>
      <c r="C34" s="1"/>
    </row>
    <row r="35" spans="1:3" ht="18" customHeight="1">
      <c r="A35" s="1" t="s">
        <v>35</v>
      </c>
      <c r="B35" s="1"/>
      <c r="C35" s="1"/>
    </row>
    <row r="36" spans="1:3" ht="21" customHeight="1">
      <c r="A36" s="1" t="s">
        <v>114</v>
      </c>
      <c r="B36" s="1"/>
      <c r="C36" s="1"/>
    </row>
    <row r="37" spans="1:3" ht="1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7"/>
  <sheetViews>
    <sheetView topLeftCell="A4" workbookViewId="0">
      <selection activeCell="C10" sqref="C10"/>
    </sheetView>
  </sheetViews>
  <sheetFormatPr defaultRowHeight="14.5"/>
  <cols>
    <col min="1" max="1" width="44.6328125" customWidth="1"/>
    <col min="2" max="3" width="14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72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-233102.09</v>
      </c>
    </row>
    <row r="9" spans="1:3" ht="45" customHeight="1">
      <c r="A9" s="3" t="s">
        <v>9</v>
      </c>
      <c r="B9" s="4">
        <f>C9/12</f>
        <v>43227.200000000004</v>
      </c>
      <c r="C9" s="1">
        <v>518726.40000000002</v>
      </c>
    </row>
    <row r="10" spans="1:3" ht="44" customHeight="1">
      <c r="A10" s="3" t="s">
        <v>10</v>
      </c>
      <c r="B10" s="4">
        <f t="shared" ref="B10:B28" si="0">C10/12</f>
        <v>2251.0741666666668</v>
      </c>
      <c r="C10" s="1">
        <f>8485.89+18527</f>
        <v>27012.89</v>
      </c>
    </row>
    <row r="11" spans="1:3" ht="19" customHeight="1">
      <c r="A11" s="2" t="s">
        <v>11</v>
      </c>
      <c r="B11" s="4">
        <f t="shared" si="0"/>
        <v>45478.27416666667</v>
      </c>
      <c r="C11" s="2">
        <f>SUM(C9:C10)</f>
        <v>545739.29</v>
      </c>
    </row>
    <row r="12" spans="1:3" ht="19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9919.0716666666667</v>
      </c>
      <c r="C13" s="1">
        <f>105619.72+13409.14</f>
        <v>119028.86</v>
      </c>
    </row>
    <row r="14" spans="1:3" ht="77.5">
      <c r="A14" s="3" t="s">
        <v>14</v>
      </c>
      <c r="B14" s="4">
        <f t="shared" si="0"/>
        <v>11786.763333333334</v>
      </c>
      <c r="C14" s="1">
        <f>41165.24+100275.92</f>
        <v>141441.16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7139</v>
      </c>
      <c r="C16" s="1">
        <v>85668</v>
      </c>
    </row>
    <row r="17" spans="1:3" ht="15.5">
      <c r="A17" s="1" t="s">
        <v>17</v>
      </c>
      <c r="B17" s="4">
        <f t="shared" si="0"/>
        <v>1440.72</v>
      </c>
      <c r="C17" s="1">
        <v>17288.64</v>
      </c>
    </row>
    <row r="18" spans="1:3" ht="15.5">
      <c r="A18" s="1" t="s">
        <v>18</v>
      </c>
      <c r="B18" s="4">
        <f t="shared" si="0"/>
        <v>158.20000000000002</v>
      </c>
      <c r="C18" s="1">
        <v>1898.4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1735.5966666666666</v>
      </c>
      <c r="C20" s="1">
        <v>20827.16</v>
      </c>
    </row>
    <row r="21" spans="1:3" ht="15.5">
      <c r="A21" s="1" t="s">
        <v>21</v>
      </c>
      <c r="B21" s="4">
        <f t="shared" si="0"/>
        <v>1039.345</v>
      </c>
      <c r="C21" s="1">
        <v>12472.14</v>
      </c>
    </row>
    <row r="22" spans="1:3" ht="15.5">
      <c r="A22" s="1" t="s">
        <v>22</v>
      </c>
      <c r="B22" s="4">
        <f t="shared" si="0"/>
        <v>3451.2649999999999</v>
      </c>
      <c r="C22" s="1">
        <v>41415.18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2098.1066666666666</v>
      </c>
      <c r="C24" s="1">
        <v>25177.279999999999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6208.6374999999998</v>
      </c>
      <c r="C27" s="1">
        <v>74503.649999999994</v>
      </c>
    </row>
    <row r="28" spans="1:3" ht="15.5">
      <c r="A28" s="2" t="s">
        <v>28</v>
      </c>
      <c r="B28" s="4">
        <f t="shared" si="0"/>
        <v>44976.705833333341</v>
      </c>
      <c r="C28" s="2">
        <f>SUM(C13:C27)</f>
        <v>539720.47000000009</v>
      </c>
    </row>
    <row r="29" spans="1:3" ht="26.5" customHeight="1">
      <c r="A29" s="2" t="s">
        <v>29</v>
      </c>
      <c r="B29" s="1"/>
      <c r="C29" s="2"/>
    </row>
    <row r="30" spans="1:3" ht="23.5" customHeight="1">
      <c r="A30" s="2" t="s">
        <v>30</v>
      </c>
      <c r="B30" s="1"/>
      <c r="C30" s="2">
        <v>227083.27</v>
      </c>
    </row>
    <row r="31" spans="1:3" ht="44" customHeight="1">
      <c r="A31" s="3" t="s">
        <v>31</v>
      </c>
      <c r="B31" s="1"/>
      <c r="C31" s="1">
        <v>96503.49</v>
      </c>
    </row>
    <row r="32" spans="1:3" ht="62" hidden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-323586.76</v>
      </c>
    </row>
    <row r="34" spans="1:3" ht="27.5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31" customHeight="1">
      <c r="A36" s="1" t="s">
        <v>64</v>
      </c>
      <c r="B36" s="1"/>
      <c r="C36" s="1"/>
    </row>
    <row r="37" spans="1:3" ht="27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2.6328125" customWidth="1"/>
    <col min="2" max="2" width="16.90625" customWidth="1"/>
    <col min="3" max="3" width="16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73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-155030.79999999999</v>
      </c>
    </row>
    <row r="9" spans="1:3" ht="44" customHeight="1">
      <c r="A9" s="3" t="s">
        <v>9</v>
      </c>
      <c r="B9" s="4">
        <f>C9/12</f>
        <v>38088.137500000004</v>
      </c>
      <c r="C9" s="1">
        <v>457057.65</v>
      </c>
    </row>
    <row r="10" spans="1:3" ht="49.5" customHeight="1">
      <c r="A10" s="3" t="s">
        <v>10</v>
      </c>
      <c r="B10" s="4">
        <f t="shared" ref="B10:B28" si="0">C10/12</f>
        <v>1292.2549999999999</v>
      </c>
      <c r="C10" s="1">
        <f>2056.56+13450.5</f>
        <v>15507.06</v>
      </c>
    </row>
    <row r="11" spans="1:3" ht="14.5" customHeight="1">
      <c r="A11" s="2" t="s">
        <v>11</v>
      </c>
      <c r="B11" s="4">
        <f t="shared" si="0"/>
        <v>39380.392500000002</v>
      </c>
      <c r="C11" s="2">
        <f>SUM(C9:C10)</f>
        <v>472564.71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3.5" customHeight="1">
      <c r="A13" s="3" t="s">
        <v>13</v>
      </c>
      <c r="B13" s="4">
        <f t="shared" si="0"/>
        <v>10785.739166666666</v>
      </c>
      <c r="C13" s="1">
        <f>105947.17+23481.7</f>
        <v>129428.87</v>
      </c>
    </row>
    <row r="14" spans="1:3" ht="77.5">
      <c r="A14" s="3" t="s">
        <v>14</v>
      </c>
      <c r="B14" s="4">
        <f t="shared" si="0"/>
        <v>12421.313333333334</v>
      </c>
      <c r="C14" s="1">
        <f>48779.84+100275.92</f>
        <v>149055.76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2973</v>
      </c>
      <c r="C16" s="1">
        <v>35676</v>
      </c>
    </row>
    <row r="17" spans="1:3" ht="15.5">
      <c r="A17" s="1" t="s">
        <v>17</v>
      </c>
      <c r="B17" s="4">
        <f t="shared" si="0"/>
        <v>1456.42</v>
      </c>
      <c r="C17" s="1">
        <v>17477.04</v>
      </c>
    </row>
    <row r="18" spans="1:3" ht="15.5">
      <c r="A18" s="1" t="s">
        <v>18</v>
      </c>
      <c r="B18" s="4">
        <f t="shared" si="0"/>
        <v>158.20000000000002</v>
      </c>
      <c r="C18" s="1">
        <v>1898.4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1735.5966666666666</v>
      </c>
      <c r="C20" s="1">
        <v>20827.16</v>
      </c>
    </row>
    <row r="21" spans="1:3" ht="15.5">
      <c r="A21" s="1" t="s">
        <v>21</v>
      </c>
      <c r="B21" s="4">
        <f t="shared" si="0"/>
        <v>1011.0949999999999</v>
      </c>
      <c r="C21" s="1">
        <v>12133.14</v>
      </c>
    </row>
    <row r="22" spans="1:3" ht="15.5">
      <c r="A22" s="1" t="s">
        <v>22</v>
      </c>
      <c r="B22" s="4">
        <f t="shared" si="0"/>
        <v>3422.1650000000004</v>
      </c>
      <c r="C22" s="1">
        <v>41065.980000000003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2041.2</v>
      </c>
      <c r="C24" s="1">
        <v>24494.400000000001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8635.2091666666656</v>
      </c>
      <c r="C27" s="1">
        <v>103622.51</v>
      </c>
    </row>
    <row r="28" spans="1:3" ht="15.5">
      <c r="A28" s="2" t="s">
        <v>28</v>
      </c>
      <c r="B28" s="4">
        <f t="shared" si="0"/>
        <v>44639.938333333332</v>
      </c>
      <c r="C28" s="2">
        <f>SUM(C13:C27)</f>
        <v>535679.26</v>
      </c>
    </row>
    <row r="29" spans="1:3" ht="25" customHeight="1">
      <c r="A29" s="2" t="s">
        <v>29</v>
      </c>
      <c r="B29" s="1"/>
      <c r="C29" s="2"/>
    </row>
    <row r="30" spans="1:3" ht="30" customHeight="1">
      <c r="A30" s="2" t="s">
        <v>30</v>
      </c>
      <c r="B30" s="1"/>
      <c r="C30" s="2">
        <v>218145.35</v>
      </c>
    </row>
    <row r="31" spans="1:3" ht="31">
      <c r="A31" s="3" t="s">
        <v>31</v>
      </c>
      <c r="B31" s="1"/>
      <c r="C31" s="1">
        <v>208262.12</v>
      </c>
    </row>
    <row r="32" spans="1:3" ht="1" customHeight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-426407.47</v>
      </c>
    </row>
    <row r="34" spans="1:3" ht="31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32" customHeight="1">
      <c r="A36" s="1" t="s">
        <v>64</v>
      </c>
      <c r="B36" s="1"/>
      <c r="C36" s="1"/>
    </row>
    <row r="37" spans="1:3" ht="25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3" sqref="C33"/>
    </sheetView>
  </sheetViews>
  <sheetFormatPr defaultRowHeight="14.5"/>
  <cols>
    <col min="1" max="1" width="44" customWidth="1"/>
    <col min="2" max="2" width="17.453125" customWidth="1"/>
    <col min="3" max="3" width="16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74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7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68361.11</v>
      </c>
    </row>
    <row r="9" spans="1:3" ht="43.5" customHeight="1">
      <c r="A9" s="3" t="s">
        <v>9</v>
      </c>
      <c r="B9" s="4">
        <f>C9/12</f>
        <v>47077.134166666663</v>
      </c>
      <c r="C9" s="1">
        <v>564925.61</v>
      </c>
    </row>
    <row r="10" spans="1:3" ht="44.5" customHeight="1">
      <c r="A10" s="3" t="s">
        <v>10</v>
      </c>
      <c r="B10" s="4">
        <f t="shared" ref="B10:B28" si="0">C10/12</f>
        <v>1675.125</v>
      </c>
      <c r="C10" s="1">
        <v>20101.5</v>
      </c>
    </row>
    <row r="11" spans="1:3" ht="15.5">
      <c r="A11" s="2" t="s">
        <v>11</v>
      </c>
      <c r="B11" s="4">
        <f t="shared" si="0"/>
        <v>48752.259166666663</v>
      </c>
      <c r="C11" s="2">
        <f>SUM(C9:C10)</f>
        <v>585027.11</v>
      </c>
    </row>
    <row r="12" spans="1:3" ht="15.5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11800.636666666665</v>
      </c>
      <c r="C13" s="1">
        <f>115916.4+25691.24</f>
        <v>141607.63999999998</v>
      </c>
    </row>
    <row r="14" spans="1:3" ht="74.5" customHeight="1">
      <c r="A14" s="3" t="s">
        <v>14</v>
      </c>
      <c r="B14" s="4">
        <f t="shared" si="0"/>
        <v>10031.348333333333</v>
      </c>
      <c r="C14" s="1">
        <f>32442.12+87934.06</f>
        <v>120376.18</v>
      </c>
    </row>
    <row r="15" spans="1:3" ht="6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2677.6666666666665</v>
      </c>
      <c r="C16" s="1">
        <v>32132</v>
      </c>
    </row>
    <row r="17" spans="1:3" ht="15.5">
      <c r="A17" s="1" t="s">
        <v>17</v>
      </c>
      <c r="B17" s="4">
        <f t="shared" si="0"/>
        <v>1688.3500000000001</v>
      </c>
      <c r="C17" s="1">
        <v>20260.2</v>
      </c>
    </row>
    <row r="18" spans="1:3" ht="15.5">
      <c r="A18" s="1" t="s">
        <v>18</v>
      </c>
      <c r="B18" s="4">
        <f t="shared" si="0"/>
        <v>162.47</v>
      </c>
      <c r="C18" s="1">
        <v>1949.64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878.7833333333333</v>
      </c>
      <c r="C20" s="1">
        <v>10545.4</v>
      </c>
    </row>
    <row r="21" spans="1:3" ht="15.5">
      <c r="A21" s="1" t="s">
        <v>21</v>
      </c>
      <c r="B21" s="4">
        <f t="shared" si="0"/>
        <v>1282.2733333333333</v>
      </c>
      <c r="C21" s="1">
        <v>15387.28</v>
      </c>
    </row>
    <row r="22" spans="1:3" ht="15.5">
      <c r="A22" s="1" t="s">
        <v>22</v>
      </c>
      <c r="B22" s="4">
        <f t="shared" si="0"/>
        <v>3967.0541666666668</v>
      </c>
      <c r="C22" s="1">
        <v>47604.65</v>
      </c>
    </row>
    <row r="23" spans="1:3" ht="15.5">
      <c r="A23" s="1" t="s">
        <v>23</v>
      </c>
      <c r="B23" s="4">
        <f t="shared" si="0"/>
        <v>661.73750000000007</v>
      </c>
      <c r="C23" s="1">
        <v>7940.85</v>
      </c>
    </row>
    <row r="24" spans="1:3" ht="15.5">
      <c r="A24" s="1" t="s">
        <v>24</v>
      </c>
      <c r="B24" s="4">
        <f t="shared" si="0"/>
        <v>2526.9716666666668</v>
      </c>
      <c r="C24" s="1">
        <v>30323.66</v>
      </c>
    </row>
    <row r="25" spans="1:3" ht="15.5">
      <c r="A25" s="1" t="s">
        <v>25</v>
      </c>
      <c r="B25" s="4">
        <f t="shared" si="0"/>
        <v>247.03166666666667</v>
      </c>
      <c r="C25" s="1">
        <v>2964.38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11676.804166666667</v>
      </c>
      <c r="C27" s="1">
        <v>140121.65</v>
      </c>
    </row>
    <row r="28" spans="1:3" ht="24.5" customHeight="1">
      <c r="A28" s="2" t="s">
        <v>28</v>
      </c>
      <c r="B28" s="4">
        <f t="shared" si="0"/>
        <v>47601.127500000002</v>
      </c>
      <c r="C28" s="2">
        <f>SUM(C13:C27)</f>
        <v>571213.53</v>
      </c>
    </row>
    <row r="29" spans="1:3" ht="22.5" customHeight="1">
      <c r="A29" s="2" t="s">
        <v>29</v>
      </c>
      <c r="B29" s="1"/>
      <c r="C29" s="2">
        <v>82174.69</v>
      </c>
    </row>
    <row r="30" spans="1:3" ht="31" customHeight="1">
      <c r="A30" s="2" t="s">
        <v>30</v>
      </c>
      <c r="B30" s="1"/>
      <c r="C30" s="2"/>
    </row>
    <row r="31" spans="1:3" ht="30.5" customHeight="1">
      <c r="A31" s="3" t="s">
        <v>31</v>
      </c>
      <c r="B31" s="1"/>
      <c r="C31" s="1">
        <v>69502.350000000006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12672.34</v>
      </c>
    </row>
    <row r="34" spans="1:3" ht="25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.1796875" customWidth="1"/>
    <col min="2" max="2" width="13.6328125" customWidth="1"/>
    <col min="3" max="3" width="12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75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195022.28</v>
      </c>
    </row>
    <row r="9" spans="1:3" ht="43.5" customHeight="1">
      <c r="A9" s="3" t="s">
        <v>9</v>
      </c>
      <c r="B9" s="4">
        <f>C9/12</f>
        <v>60944.666666666664</v>
      </c>
      <c r="C9" s="1">
        <v>731336</v>
      </c>
    </row>
    <row r="10" spans="1:3" ht="46.5" customHeight="1">
      <c r="A10" s="3" t="s">
        <v>10</v>
      </c>
      <c r="B10" s="4">
        <f t="shared" ref="B10:B28" si="0">C10/12</f>
        <v>13501.976666666667</v>
      </c>
      <c r="C10" s="1">
        <f>137955.72+24068</f>
        <v>162023.72</v>
      </c>
    </row>
    <row r="11" spans="1:3" ht="19" customHeight="1">
      <c r="A11" s="2" t="s">
        <v>11</v>
      </c>
      <c r="B11" s="4">
        <f t="shared" si="0"/>
        <v>74446.643333333326</v>
      </c>
      <c r="C11" s="2">
        <f>SUM(C9:C10)</f>
        <v>893359.72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20109.013333333332</v>
      </c>
      <c r="C13" s="1">
        <f>197528.7+43779.46</f>
        <v>241308.16</v>
      </c>
    </row>
    <row r="14" spans="1:3" ht="80" customHeight="1">
      <c r="A14" s="3" t="s">
        <v>14</v>
      </c>
      <c r="B14" s="4">
        <f t="shared" si="0"/>
        <v>13223.046666666667</v>
      </c>
      <c r="C14" s="1">
        <f>36810.1+121866.46</f>
        <v>158676.56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2242.5833333333335</v>
      </c>
      <c r="C16" s="1">
        <v>26911</v>
      </c>
    </row>
    <row r="17" spans="1:3" ht="15.5">
      <c r="A17" s="1" t="s">
        <v>17</v>
      </c>
      <c r="B17" s="4">
        <f t="shared" si="0"/>
        <v>2937.89</v>
      </c>
      <c r="C17" s="1">
        <v>35254.68</v>
      </c>
    </row>
    <row r="18" spans="1:3" ht="15.5">
      <c r="A18" s="1" t="s">
        <v>18</v>
      </c>
      <c r="B18" s="4">
        <f t="shared" si="0"/>
        <v>103.71</v>
      </c>
      <c r="C18" s="1">
        <v>1244.52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1296.2049999999999</v>
      </c>
      <c r="C20" s="1">
        <v>15554.46</v>
      </c>
    </row>
    <row r="21" spans="1:3" ht="15.5">
      <c r="A21" s="1" t="s">
        <v>21</v>
      </c>
      <c r="B21" s="4">
        <f t="shared" si="0"/>
        <v>2136.7325000000001</v>
      </c>
      <c r="C21" s="1">
        <v>25640.79</v>
      </c>
    </row>
    <row r="22" spans="1:3" ht="15.5">
      <c r="A22" s="1" t="s">
        <v>22</v>
      </c>
      <c r="B22" s="4">
        <f t="shared" si="0"/>
        <v>6958.0225</v>
      </c>
      <c r="C22" s="1">
        <v>83496.27</v>
      </c>
    </row>
    <row r="23" spans="1:3" ht="15.5">
      <c r="A23" s="1" t="s">
        <v>23</v>
      </c>
      <c r="B23" s="4">
        <f t="shared" si="0"/>
        <v>740.15666666666664</v>
      </c>
      <c r="C23" s="1">
        <v>8881.8799999999992</v>
      </c>
    </row>
    <row r="24" spans="1:3" ht="15.5">
      <c r="A24" s="1" t="s">
        <v>24</v>
      </c>
      <c r="B24" s="4">
        <f t="shared" si="0"/>
        <v>4273.4491666666663</v>
      </c>
      <c r="C24" s="1">
        <v>51281.39</v>
      </c>
    </row>
    <row r="25" spans="1:3" ht="15.5">
      <c r="A25" s="1" t="s">
        <v>25</v>
      </c>
      <c r="B25" s="4">
        <f t="shared" si="0"/>
        <v>367.77333333333331</v>
      </c>
      <c r="C25" s="1">
        <v>4413.28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21723.967499999999</v>
      </c>
      <c r="C27" s="1">
        <v>260687.61</v>
      </c>
    </row>
    <row r="28" spans="1:3" ht="15.5">
      <c r="A28" s="2" t="s">
        <v>28</v>
      </c>
      <c r="B28" s="4">
        <f t="shared" si="0"/>
        <v>76112.55</v>
      </c>
      <c r="C28" s="2">
        <f>SUM(C13:C27)</f>
        <v>913350.6</v>
      </c>
    </row>
    <row r="29" spans="1:3" ht="22" customHeight="1">
      <c r="A29" s="2" t="s">
        <v>29</v>
      </c>
      <c r="B29" s="1"/>
      <c r="C29" s="2">
        <v>175031.4</v>
      </c>
    </row>
    <row r="30" spans="1:3" ht="23.5" customHeight="1">
      <c r="A30" s="2" t="s">
        <v>30</v>
      </c>
      <c r="B30" s="1"/>
      <c r="C30" s="2"/>
    </row>
    <row r="31" spans="1:3" ht="41" customHeight="1">
      <c r="A31" s="3" t="s">
        <v>31</v>
      </c>
      <c r="B31" s="1"/>
      <c r="C31" s="1">
        <v>153172.76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21858.639999999999</v>
      </c>
    </row>
    <row r="34" spans="1:3" ht="28" customHeight="1">
      <c r="A34" s="1" t="s">
        <v>34</v>
      </c>
      <c r="B34" s="1"/>
      <c r="C34" s="1"/>
    </row>
    <row r="35" spans="1:3" ht="23" customHeight="1">
      <c r="A35" s="1" t="s">
        <v>35</v>
      </c>
      <c r="B35" s="1"/>
      <c r="C35" s="1"/>
    </row>
    <row r="36" spans="1:3" ht="27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7"/>
  <sheetViews>
    <sheetView topLeftCell="A17" workbookViewId="0">
      <selection sqref="A1:C30"/>
    </sheetView>
  </sheetViews>
  <sheetFormatPr defaultRowHeight="14.5"/>
  <cols>
    <col min="1" max="1" width="41.81640625" customWidth="1"/>
    <col min="2" max="2" width="14.90625" customWidth="1"/>
    <col min="3" max="3" width="13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76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74801</v>
      </c>
    </row>
    <row r="9" spans="1:3" ht="51.5" customHeight="1">
      <c r="A9" s="3" t="s">
        <v>9</v>
      </c>
      <c r="B9" s="4">
        <f>C9/12</f>
        <v>31183.381666666668</v>
      </c>
      <c r="C9" s="1">
        <v>374200.58</v>
      </c>
    </row>
    <row r="10" spans="1:3" ht="45.5" customHeight="1">
      <c r="A10" s="3" t="s">
        <v>10</v>
      </c>
      <c r="B10" s="4">
        <f t="shared" ref="B10:B28" si="0">C10/12</f>
        <v>985.08333333333337</v>
      </c>
      <c r="C10" s="1">
        <v>11821</v>
      </c>
    </row>
    <row r="11" spans="1:3" ht="18.5" customHeight="1">
      <c r="A11" s="2" t="s">
        <v>11</v>
      </c>
      <c r="B11" s="4">
        <f t="shared" si="0"/>
        <v>32168.465</v>
      </c>
      <c r="C11" s="2">
        <f>SUM(C9:C10)</f>
        <v>386021.58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8278.4083333333328</v>
      </c>
      <c r="C13" s="1">
        <f>81317.94+18022.96</f>
        <v>99340.9</v>
      </c>
    </row>
    <row r="14" spans="1:3" ht="74" customHeight="1">
      <c r="A14" s="3" t="s">
        <v>14</v>
      </c>
      <c r="B14" s="4">
        <f t="shared" si="0"/>
        <v>5114.3666666666668</v>
      </c>
      <c r="C14" s="1">
        <f>22974.54+38397.86</f>
        <v>61372.4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789.91666666666663</v>
      </c>
      <c r="C16" s="1">
        <v>9479</v>
      </c>
    </row>
    <row r="17" spans="1:3" ht="15.5">
      <c r="A17" s="1" t="s">
        <v>17</v>
      </c>
      <c r="B17" s="4">
        <f t="shared" si="0"/>
        <v>1182.96</v>
      </c>
      <c r="C17" s="1">
        <v>14195.52</v>
      </c>
    </row>
    <row r="18" spans="1:3" ht="15.5">
      <c r="A18" s="1" t="s">
        <v>18</v>
      </c>
      <c r="B18" s="4">
        <f t="shared" si="0"/>
        <v>111.32</v>
      </c>
      <c r="C18" s="1">
        <v>1335.84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659.08749999999998</v>
      </c>
      <c r="C20" s="1">
        <v>7909.05</v>
      </c>
    </row>
    <row r="21" spans="1:3" ht="15.5">
      <c r="A21" s="1" t="s">
        <v>21</v>
      </c>
      <c r="B21" s="4">
        <f t="shared" si="0"/>
        <v>828.76249999999993</v>
      </c>
      <c r="C21" s="1">
        <v>9945.15</v>
      </c>
    </row>
    <row r="22" spans="1:3" ht="15.5">
      <c r="A22" s="1" t="s">
        <v>22</v>
      </c>
      <c r="B22" s="4">
        <f t="shared" si="0"/>
        <v>2780.9416666666671</v>
      </c>
      <c r="C22" s="1">
        <v>33371.300000000003</v>
      </c>
    </row>
    <row r="23" spans="1:3" ht="15.5">
      <c r="A23" s="1" t="s">
        <v>23</v>
      </c>
      <c r="B23" s="4">
        <f t="shared" si="0"/>
        <v>370.07833333333332</v>
      </c>
      <c r="C23" s="1">
        <v>4440.9399999999996</v>
      </c>
    </row>
    <row r="24" spans="1:3" ht="15.5">
      <c r="A24" s="1" t="s">
        <v>24</v>
      </c>
      <c r="B24" s="4">
        <f t="shared" si="0"/>
        <v>1667.385</v>
      </c>
      <c r="C24" s="1">
        <v>20008.62</v>
      </c>
    </row>
    <row r="25" spans="1:3" ht="15.5">
      <c r="A25" s="1" t="s">
        <v>25</v>
      </c>
      <c r="B25" s="4">
        <f t="shared" si="0"/>
        <v>191.51166666666666</v>
      </c>
      <c r="C25" s="1">
        <v>2298.14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7017.2</v>
      </c>
      <c r="C27" s="1">
        <v>84206.399999999994</v>
      </c>
    </row>
    <row r="28" spans="1:3" ht="15.5">
      <c r="A28" s="2" t="s">
        <v>28</v>
      </c>
      <c r="B28" s="4">
        <f t="shared" si="0"/>
        <v>28991.938333333335</v>
      </c>
      <c r="C28" s="2">
        <f>SUM(C13:C27)</f>
        <v>347903.26</v>
      </c>
    </row>
    <row r="29" spans="1:3" ht="15.5">
      <c r="A29" s="2" t="s">
        <v>29</v>
      </c>
      <c r="B29" s="1"/>
      <c r="C29" s="2">
        <v>112919.32</v>
      </c>
    </row>
    <row r="30" spans="1:3" ht="15.5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132076.21</v>
      </c>
    </row>
    <row r="32" spans="1:3" ht="62" hidden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-19156.89</v>
      </c>
    </row>
    <row r="34" spans="1:3" ht="33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4" sqref="C34"/>
    </sheetView>
  </sheetViews>
  <sheetFormatPr defaultRowHeight="14.5"/>
  <cols>
    <col min="1" max="1" width="43.26953125" customWidth="1"/>
    <col min="2" max="2" width="16.36328125" customWidth="1"/>
    <col min="3" max="3" width="15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8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14212.17</v>
      </c>
    </row>
    <row r="9" spans="1:3" ht="44" customHeight="1">
      <c r="A9" s="3" t="s">
        <v>9</v>
      </c>
      <c r="B9" s="4">
        <f>C9/12</f>
        <v>45262.474999999999</v>
      </c>
      <c r="C9" s="1">
        <v>543149.69999999995</v>
      </c>
    </row>
    <row r="10" spans="1:3" ht="47.5" customHeight="1">
      <c r="A10" s="3" t="s">
        <v>10</v>
      </c>
      <c r="B10" s="4">
        <f t="shared" ref="B10:B28" si="0">C10/12</f>
        <v>1264.8333333333333</v>
      </c>
      <c r="C10" s="1">
        <v>15178</v>
      </c>
    </row>
    <row r="11" spans="1:3" ht="17.5" customHeight="1">
      <c r="A11" s="2" t="s">
        <v>11</v>
      </c>
      <c r="B11" s="4">
        <f t="shared" si="0"/>
        <v>46527.308333333327</v>
      </c>
      <c r="C11" s="2">
        <f>SUM(C9:C10)</f>
        <v>558327.69999999995</v>
      </c>
    </row>
    <row r="12" spans="1:3" ht="16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11345.659999999998</v>
      </c>
      <c r="C13" s="1">
        <f>111447.2+24700.72</f>
        <v>136147.91999999998</v>
      </c>
    </row>
    <row r="14" spans="1:3" ht="77.5">
      <c r="A14" s="3" t="s">
        <v>14</v>
      </c>
      <c r="B14" s="4">
        <f t="shared" si="0"/>
        <v>10143.246666666666</v>
      </c>
      <c r="C14" s="1">
        <f>33756.78+87962.18</f>
        <v>121718.95999999999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0</v>
      </c>
      <c r="C16" s="1"/>
    </row>
    <row r="17" spans="1:3" ht="15.5">
      <c r="A17" s="1" t="s">
        <v>17</v>
      </c>
      <c r="B17" s="4">
        <f t="shared" si="0"/>
        <v>1611.5</v>
      </c>
      <c r="C17" s="1">
        <v>19338</v>
      </c>
    </row>
    <row r="18" spans="1:3" ht="15.5">
      <c r="A18" s="1" t="s">
        <v>18</v>
      </c>
      <c r="B18" s="4">
        <f t="shared" si="0"/>
        <v>180.14</v>
      </c>
      <c r="C18" s="1">
        <v>2161.6799999999998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878.7833333333333</v>
      </c>
      <c r="C20" s="1">
        <v>10545.4</v>
      </c>
    </row>
    <row r="21" spans="1:3" ht="15.5">
      <c r="A21" s="1" t="s">
        <v>21</v>
      </c>
      <c r="B21" s="4">
        <f t="shared" si="0"/>
        <v>1217.1608333333334</v>
      </c>
      <c r="C21" s="1">
        <v>14605.93</v>
      </c>
    </row>
    <row r="22" spans="1:3" ht="15.5">
      <c r="A22" s="1" t="s">
        <v>22</v>
      </c>
      <c r="B22" s="4">
        <f t="shared" si="0"/>
        <v>3786.7024999999999</v>
      </c>
      <c r="C22" s="1">
        <v>45440.43</v>
      </c>
    </row>
    <row r="23" spans="1:3" ht="15.5">
      <c r="A23" s="1" t="s">
        <v>23</v>
      </c>
      <c r="B23" s="4">
        <f t="shared" si="0"/>
        <v>551.55833333333328</v>
      </c>
      <c r="C23" s="1">
        <v>6618.7</v>
      </c>
    </row>
    <row r="24" spans="1:3" ht="15.5">
      <c r="A24" s="1" t="s">
        <v>24</v>
      </c>
      <c r="B24" s="4">
        <f t="shared" si="0"/>
        <v>2411.6458333333335</v>
      </c>
      <c r="C24" s="1">
        <v>28939.75</v>
      </c>
    </row>
    <row r="25" spans="1:3" ht="15.5">
      <c r="A25" s="1" t="s">
        <v>25</v>
      </c>
      <c r="B25" s="4">
        <f t="shared" si="0"/>
        <v>287.83666666666664</v>
      </c>
      <c r="C25" s="1">
        <v>3454.04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9555.0533333333333</v>
      </c>
      <c r="C27" s="1">
        <v>114660.64</v>
      </c>
    </row>
    <row r="28" spans="1:3" ht="18" customHeight="1">
      <c r="A28" s="2" t="s">
        <v>28</v>
      </c>
      <c r="B28" s="4">
        <f t="shared" si="0"/>
        <v>41969.287499999999</v>
      </c>
      <c r="C28" s="2">
        <f>SUM(C13:C27)</f>
        <v>503631.45</v>
      </c>
    </row>
    <row r="29" spans="1:3" ht="23" customHeight="1">
      <c r="A29" s="2" t="s">
        <v>29</v>
      </c>
      <c r="B29" s="1"/>
      <c r="C29" s="2">
        <v>68908.42</v>
      </c>
    </row>
    <row r="30" spans="1:3" ht="25.5" customHeight="1">
      <c r="A30" s="2" t="s">
        <v>30</v>
      </c>
      <c r="B30" s="1"/>
      <c r="C30" s="2"/>
    </row>
    <row r="31" spans="1:3" ht="30.5" customHeight="1">
      <c r="A31" s="3" t="s">
        <v>31</v>
      </c>
      <c r="B31" s="1"/>
      <c r="C31" s="1">
        <v>64409.1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4499.32</v>
      </c>
    </row>
    <row r="34" spans="1:3" ht="33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sqref="A1:C38"/>
    </sheetView>
  </sheetViews>
  <sheetFormatPr defaultRowHeight="14.5"/>
  <cols>
    <col min="1" max="1" width="47.08984375" customWidth="1"/>
    <col min="2" max="2" width="15.8164062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78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-56515.82</v>
      </c>
    </row>
    <row r="9" spans="1:3" ht="34" customHeight="1">
      <c r="A9" s="3" t="s">
        <v>9</v>
      </c>
      <c r="B9" s="4">
        <f>C9/12</f>
        <v>35807.090833333335</v>
      </c>
      <c r="C9" s="1">
        <v>429685.09</v>
      </c>
    </row>
    <row r="10" spans="1:3" ht="48.5" customHeight="1">
      <c r="A10" s="3" t="s">
        <v>10</v>
      </c>
      <c r="B10" s="4">
        <f t="shared" ref="B10:B28" si="0">C10/12</f>
        <v>5912.892499999999</v>
      </c>
      <c r="C10" s="1">
        <f>23025+47929.71</f>
        <v>70954.709999999992</v>
      </c>
    </row>
    <row r="11" spans="1:3" ht="16" customHeight="1">
      <c r="A11" s="2" t="s">
        <v>11</v>
      </c>
      <c r="B11" s="4">
        <f t="shared" si="0"/>
        <v>41719.983333333337</v>
      </c>
      <c r="C11" s="2">
        <f>SUM(C9:C10)</f>
        <v>500639.80000000005</v>
      </c>
    </row>
    <row r="12" spans="1:3" ht="16.5" customHeight="1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10394.4</v>
      </c>
      <c r="C13" s="1">
        <f>102073+22659.8</f>
        <v>124732.8</v>
      </c>
    </row>
    <row r="14" spans="1:3" ht="77.5">
      <c r="A14" s="3" t="s">
        <v>14</v>
      </c>
      <c r="B14" s="4">
        <f t="shared" si="0"/>
        <v>8427.8133333333335</v>
      </c>
      <c r="C14" s="1">
        <f>27320.58+73813.18</f>
        <v>101133.75999999999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2319.0833333333335</v>
      </c>
      <c r="C16" s="1">
        <v>27829</v>
      </c>
    </row>
    <row r="17" spans="1:3" ht="15.5">
      <c r="A17" s="1" t="s">
        <v>17</v>
      </c>
      <c r="B17" s="4">
        <f t="shared" si="0"/>
        <v>1535.76</v>
      </c>
      <c r="C17" s="1">
        <v>18429.12</v>
      </c>
    </row>
    <row r="18" spans="1:3" ht="15.5">
      <c r="A18" s="1" t="s">
        <v>18</v>
      </c>
      <c r="B18" s="4">
        <f t="shared" si="0"/>
        <v>57.25</v>
      </c>
      <c r="C18" s="1">
        <v>687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779.92000000000007</v>
      </c>
      <c r="C20" s="1">
        <v>9359.0400000000009</v>
      </c>
    </row>
    <row r="21" spans="1:3" ht="15.5">
      <c r="A21" s="1" t="s">
        <v>21</v>
      </c>
      <c r="B21" s="4">
        <f t="shared" si="0"/>
        <v>1113.9291666666666</v>
      </c>
      <c r="C21" s="1">
        <v>13367.15</v>
      </c>
    </row>
    <row r="22" spans="1:3" ht="15.5">
      <c r="A22" s="1" t="s">
        <v>22</v>
      </c>
      <c r="B22" s="4">
        <f t="shared" si="0"/>
        <v>3639.9625000000001</v>
      </c>
      <c r="C22" s="1">
        <v>43679.55</v>
      </c>
    </row>
    <row r="23" spans="1:3" ht="15.5">
      <c r="A23" s="1" t="s">
        <v>23</v>
      </c>
      <c r="B23" s="4">
        <f t="shared" si="0"/>
        <v>457.69916666666671</v>
      </c>
      <c r="C23" s="1">
        <v>5492.39</v>
      </c>
    </row>
    <row r="24" spans="1:3" ht="15.5">
      <c r="A24" s="1" t="s">
        <v>24</v>
      </c>
      <c r="B24" s="4">
        <f t="shared" si="0"/>
        <v>2162.4683333333332</v>
      </c>
      <c r="C24" s="1">
        <v>25949.62</v>
      </c>
    </row>
    <row r="25" spans="1:3" ht="15.5">
      <c r="A25" s="1" t="s">
        <v>25</v>
      </c>
      <c r="B25" s="4">
        <f t="shared" si="0"/>
        <v>246.87666666666667</v>
      </c>
      <c r="C25" s="1">
        <v>2962.52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9184.7824999999993</v>
      </c>
      <c r="C27" s="1">
        <v>110217.39</v>
      </c>
    </row>
    <row r="28" spans="1:3" ht="15.5">
      <c r="A28" s="2" t="s">
        <v>28</v>
      </c>
      <c r="B28" s="4">
        <f t="shared" si="0"/>
        <v>40319.945</v>
      </c>
      <c r="C28" s="2">
        <f>SUM(C13:C27)</f>
        <v>483839.34</v>
      </c>
    </row>
    <row r="29" spans="1:3" ht="23.5" customHeight="1">
      <c r="A29" s="2" t="s">
        <v>29</v>
      </c>
      <c r="B29" s="1"/>
      <c r="C29" s="2">
        <v>39715.360000000001</v>
      </c>
    </row>
    <row r="30" spans="1:3" ht="26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162322.41</v>
      </c>
    </row>
    <row r="32" spans="1:3" ht="0.5" customHeight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-122607.05</v>
      </c>
    </row>
    <row r="34" spans="1:3" ht="41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40"/>
    </sheetView>
  </sheetViews>
  <sheetFormatPr defaultRowHeight="14.5"/>
  <cols>
    <col min="1" max="1" width="42.453125" customWidth="1"/>
    <col min="2" max="2" width="18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79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8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58943.27</v>
      </c>
    </row>
    <row r="9" spans="1:3" ht="48" customHeight="1">
      <c r="A9" s="3" t="s">
        <v>9</v>
      </c>
      <c r="B9" s="4">
        <f>C9/12</f>
        <v>31968.380833333333</v>
      </c>
      <c r="C9" s="1">
        <v>383620.57</v>
      </c>
    </row>
    <row r="10" spans="1:3" ht="45.5" customHeight="1">
      <c r="A10" s="3" t="s">
        <v>10</v>
      </c>
      <c r="B10" s="4">
        <f t="shared" ref="B10:B28" si="0">C10/12</f>
        <v>1930.8716666666667</v>
      </c>
      <c r="C10" s="1">
        <f>8489.96+14680.5</f>
        <v>23170.46</v>
      </c>
    </row>
    <row r="11" spans="1:3" ht="17.5" customHeight="1">
      <c r="A11" s="2" t="s">
        <v>11</v>
      </c>
      <c r="B11" s="4">
        <f t="shared" si="0"/>
        <v>33899.252500000002</v>
      </c>
      <c r="C11" s="2">
        <f>SUM(C9:C10)</f>
        <v>406791.03</v>
      </c>
    </row>
    <row r="12" spans="1:3" ht="13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8475.0625</v>
      </c>
      <c r="C13" s="1">
        <f>83249.63+18451.12</f>
        <v>101700.75</v>
      </c>
    </row>
    <row r="14" spans="1:3" ht="77.5">
      <c r="A14" s="3" t="s">
        <v>14</v>
      </c>
      <c r="B14" s="4">
        <f t="shared" si="0"/>
        <v>5797.1883333333326</v>
      </c>
      <c r="C14" s="1">
        <f>23303.24+46263.02</f>
        <v>69566.259999999995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2945.0833333333335</v>
      </c>
      <c r="C16" s="1">
        <v>35341</v>
      </c>
    </row>
    <row r="17" spans="1:3" ht="15.5">
      <c r="A17" s="1" t="s">
        <v>17</v>
      </c>
      <c r="B17" s="4">
        <f t="shared" si="0"/>
        <v>1212.43</v>
      </c>
      <c r="C17" s="1">
        <v>14549.16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637.11749999999995</v>
      </c>
      <c r="C20" s="1">
        <v>7645.41</v>
      </c>
    </row>
    <row r="21" spans="1:3" ht="15.5">
      <c r="A21" s="1" t="s">
        <v>21</v>
      </c>
      <c r="B21" s="4">
        <f t="shared" si="0"/>
        <v>903.23333333333323</v>
      </c>
      <c r="C21" s="1">
        <v>10838.8</v>
      </c>
    </row>
    <row r="22" spans="1:3" ht="15.5">
      <c r="A22" s="1" t="s">
        <v>22</v>
      </c>
      <c r="B22" s="4">
        <f t="shared" si="0"/>
        <v>2848.9658333333332</v>
      </c>
      <c r="C22" s="1">
        <v>34187.589999999997</v>
      </c>
    </row>
    <row r="23" spans="1:3" ht="15.5">
      <c r="A23" s="1" t="s">
        <v>23</v>
      </c>
      <c r="B23" s="4">
        <f t="shared" si="0"/>
        <v>363.89000000000004</v>
      </c>
      <c r="C23" s="1">
        <v>4366.68</v>
      </c>
    </row>
    <row r="24" spans="1:3" ht="15.5">
      <c r="A24" s="1" t="s">
        <v>24</v>
      </c>
      <c r="B24" s="4">
        <f t="shared" si="0"/>
        <v>1757.0966666666666</v>
      </c>
      <c r="C24" s="1">
        <v>21085.16</v>
      </c>
    </row>
    <row r="25" spans="1:3" ht="15.5">
      <c r="A25" s="1" t="s">
        <v>25</v>
      </c>
      <c r="B25" s="4">
        <f t="shared" si="0"/>
        <v>191.51166666666666</v>
      </c>
      <c r="C25" s="1">
        <v>2298.14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7188.8450000000003</v>
      </c>
      <c r="C27" s="1">
        <v>86266.14</v>
      </c>
    </row>
    <row r="28" spans="1:3" ht="15.5">
      <c r="A28" s="2" t="s">
        <v>28</v>
      </c>
      <c r="B28" s="4">
        <f t="shared" si="0"/>
        <v>32320.424166666664</v>
      </c>
      <c r="C28" s="2">
        <f>SUM(C13:C27)</f>
        <v>387845.08999999997</v>
      </c>
    </row>
    <row r="29" spans="1:3" ht="27.5" customHeight="1">
      <c r="A29" s="2" t="s">
        <v>29</v>
      </c>
      <c r="B29" s="1"/>
      <c r="C29" s="2">
        <v>77889.210000000006</v>
      </c>
    </row>
    <row r="30" spans="1:3" ht="28.5" customHeight="1">
      <c r="A30" s="2" t="s">
        <v>30</v>
      </c>
      <c r="B30" s="1"/>
      <c r="C30" s="2"/>
    </row>
    <row r="31" spans="1:3" ht="38.5" customHeight="1">
      <c r="A31" s="3" t="s">
        <v>31</v>
      </c>
      <c r="B31" s="1"/>
      <c r="C31" s="1">
        <v>90809.78</v>
      </c>
    </row>
    <row r="32" spans="1:3" ht="1" customHeight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-12920.57</v>
      </c>
    </row>
    <row r="34" spans="1:3" ht="36.5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29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sqref="A1:C37"/>
    </sheetView>
  </sheetViews>
  <sheetFormatPr defaultRowHeight="14.5"/>
  <cols>
    <col min="1" max="1" width="42.7265625" customWidth="1"/>
    <col min="2" max="2" width="16.08984375" customWidth="1"/>
    <col min="3" max="3" width="15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80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-86084.98</v>
      </c>
    </row>
    <row r="9" spans="1:3" ht="46.5">
      <c r="A9" s="3" t="s">
        <v>9</v>
      </c>
      <c r="B9" s="4">
        <f>C9/12</f>
        <v>41880.909999999996</v>
      </c>
      <c r="C9" s="1">
        <v>502570.92</v>
      </c>
    </row>
    <row r="10" spans="1:3" ht="51.5" customHeight="1">
      <c r="A10" s="3" t="s">
        <v>10</v>
      </c>
      <c r="B10" s="4">
        <f t="shared" ref="B10:B28" si="0">C10/12</f>
        <v>1098.1666666666667</v>
      </c>
      <c r="C10" s="1">
        <v>13178</v>
      </c>
    </row>
    <row r="11" spans="1:3" ht="15.5">
      <c r="A11" s="2" t="s">
        <v>11</v>
      </c>
      <c r="B11" s="4">
        <f t="shared" si="0"/>
        <v>42979.076666666668</v>
      </c>
      <c r="C11" s="2">
        <f>SUM(C9:C10)</f>
        <v>515748.92</v>
      </c>
    </row>
    <row r="12" spans="1:3" ht="15.5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11449.988333333333</v>
      </c>
      <c r="C13" s="1">
        <f>112472+24927.86</f>
        <v>137399.85999999999</v>
      </c>
    </row>
    <row r="14" spans="1:3" ht="77.5">
      <c r="A14" s="3" t="s">
        <v>14</v>
      </c>
      <c r="B14" s="4">
        <f t="shared" si="0"/>
        <v>11181.148333333333</v>
      </c>
      <c r="C14" s="1">
        <f>48748.04+85425.74</f>
        <v>134173.78</v>
      </c>
    </row>
    <row r="15" spans="1:3" ht="65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3053.25</v>
      </c>
      <c r="C16" s="1">
        <v>36639</v>
      </c>
    </row>
    <row r="17" spans="1:3" ht="15.5">
      <c r="A17" s="1" t="s">
        <v>17</v>
      </c>
      <c r="B17" s="4">
        <f t="shared" si="0"/>
        <v>1559.86</v>
      </c>
      <c r="C17" s="1">
        <v>18718.32</v>
      </c>
    </row>
    <row r="18" spans="1:3" ht="15.5">
      <c r="A18" s="1" t="s">
        <v>18</v>
      </c>
      <c r="B18" s="4">
        <f t="shared" si="0"/>
        <v>165.64000000000001</v>
      </c>
      <c r="C18" s="1">
        <v>1987.68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1318.175</v>
      </c>
      <c r="C20" s="1">
        <v>15818.1</v>
      </c>
    </row>
    <row r="21" spans="1:3" ht="15.5">
      <c r="A21" s="1" t="s">
        <v>21</v>
      </c>
      <c r="B21" s="4">
        <f t="shared" si="0"/>
        <v>1127.9958333333334</v>
      </c>
      <c r="C21" s="1">
        <v>13535.95</v>
      </c>
    </row>
    <row r="22" spans="1:3" ht="15.5">
      <c r="A22" s="1" t="s">
        <v>22</v>
      </c>
      <c r="B22" s="4">
        <f t="shared" si="0"/>
        <v>3665.3408333333332</v>
      </c>
      <c r="C22" s="1">
        <v>43984.09</v>
      </c>
    </row>
    <row r="23" spans="1:3" ht="15.5">
      <c r="A23" s="1" t="s">
        <v>23</v>
      </c>
      <c r="B23" s="4">
        <f t="shared" si="0"/>
        <v>755.62916666666661</v>
      </c>
      <c r="C23" s="1">
        <v>9067.5499999999993</v>
      </c>
    </row>
    <row r="24" spans="1:3" ht="15.5">
      <c r="A24" s="1" t="s">
        <v>24</v>
      </c>
      <c r="B24" s="4">
        <f t="shared" si="0"/>
        <v>2227.7308333333335</v>
      </c>
      <c r="C24" s="1">
        <v>26732.77</v>
      </c>
    </row>
    <row r="25" spans="1:3" ht="15.5">
      <c r="A25" s="1" t="s">
        <v>25</v>
      </c>
      <c r="B25" s="4">
        <f t="shared" si="0"/>
        <v>183.38</v>
      </c>
      <c r="C25" s="1">
        <v>2200.56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9248.8183333333345</v>
      </c>
      <c r="C27" s="1">
        <v>110985.82</v>
      </c>
    </row>
    <row r="28" spans="1:3" ht="15.5">
      <c r="A28" s="2" t="s">
        <v>28</v>
      </c>
      <c r="B28" s="4">
        <f t="shared" si="0"/>
        <v>45936.956666666665</v>
      </c>
      <c r="C28" s="2">
        <f>SUM(C13:C27)</f>
        <v>551243.48</v>
      </c>
    </row>
    <row r="29" spans="1:3" ht="24.5" customHeight="1">
      <c r="A29" s="2" t="s">
        <v>29</v>
      </c>
      <c r="B29" s="1"/>
      <c r="C29" s="2"/>
    </row>
    <row r="30" spans="1:3" ht="22.5" customHeight="1">
      <c r="A30" s="2" t="s">
        <v>30</v>
      </c>
      <c r="B30" s="1"/>
      <c r="C30" s="2">
        <v>121579.54</v>
      </c>
    </row>
    <row r="31" spans="1:3" ht="31">
      <c r="A31" s="3" t="s">
        <v>31</v>
      </c>
      <c r="B31" s="1"/>
      <c r="C31" s="1">
        <v>218299.49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-339879.03</v>
      </c>
    </row>
    <row r="34" spans="1:3" ht="24.5" customHeight="1">
      <c r="A34" s="1" t="s">
        <v>34</v>
      </c>
      <c r="B34" s="1"/>
      <c r="C34" s="1"/>
    </row>
    <row r="35" spans="1:3" ht="25.5" customHeight="1">
      <c r="A35" s="1" t="s">
        <v>35</v>
      </c>
      <c r="B35" s="1"/>
      <c r="C35" s="1"/>
    </row>
    <row r="36" spans="1:3" ht="26" customHeight="1">
      <c r="A36" s="1" t="s">
        <v>64</v>
      </c>
      <c r="B36" s="1"/>
      <c r="C36" s="1"/>
    </row>
    <row r="37" spans="1:3" ht="24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" customWidth="1"/>
    <col min="2" max="3" width="14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81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25628.17</v>
      </c>
    </row>
    <row r="9" spans="1:3" ht="46.5">
      <c r="A9" s="3" t="s">
        <v>9</v>
      </c>
      <c r="B9" s="4">
        <f>C9/12</f>
        <v>45377.625</v>
      </c>
      <c r="C9" s="1">
        <v>544531.5</v>
      </c>
    </row>
    <row r="10" spans="1:3" ht="48" customHeight="1">
      <c r="A10" s="3" t="s">
        <v>10</v>
      </c>
      <c r="B10" s="4">
        <f t="shared" ref="B10:B28" si="0">C10/12</f>
        <v>1675.125</v>
      </c>
      <c r="C10" s="1">
        <v>20101.5</v>
      </c>
    </row>
    <row r="11" spans="1:3" ht="15.5">
      <c r="A11" s="2" t="s">
        <v>11</v>
      </c>
      <c r="B11" s="4">
        <f t="shared" si="0"/>
        <v>47052.75</v>
      </c>
      <c r="C11" s="2">
        <f>SUM(C9:C10)</f>
        <v>564633</v>
      </c>
    </row>
    <row r="12" spans="1:3" ht="15.5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11481.491666666667</v>
      </c>
      <c r="C13" s="1">
        <f>112781.5+24996.4</f>
        <v>137777.9</v>
      </c>
    </row>
    <row r="14" spans="1:3" ht="77.5">
      <c r="A14" s="3" t="s">
        <v>14</v>
      </c>
      <c r="B14" s="4">
        <f t="shared" si="0"/>
        <v>9292.6533333333336</v>
      </c>
      <c r="C14" s="1">
        <f>40764.74+70747.1</f>
        <v>111511.84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724.16666666666663</v>
      </c>
      <c r="C16" s="1">
        <v>8690</v>
      </c>
    </row>
    <row r="17" spans="1:3" ht="15.5">
      <c r="A17" s="1" t="s">
        <v>17</v>
      </c>
      <c r="B17" s="4">
        <f t="shared" si="0"/>
        <v>1600.61</v>
      </c>
      <c r="C17" s="1">
        <v>19207.32</v>
      </c>
    </row>
    <row r="18" spans="1:3" ht="15.5">
      <c r="A18" s="1" t="s">
        <v>18</v>
      </c>
      <c r="B18" s="4">
        <f t="shared" si="0"/>
        <v>387.72</v>
      </c>
      <c r="C18" s="1">
        <v>4652.6400000000003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878.7833333333333</v>
      </c>
      <c r="C20" s="1">
        <v>10545.4</v>
      </c>
    </row>
    <row r="21" spans="1:3" ht="15.5">
      <c r="A21" s="1" t="s">
        <v>21</v>
      </c>
      <c r="B21" s="4">
        <f t="shared" si="0"/>
        <v>1240.5108333333333</v>
      </c>
      <c r="C21" s="1">
        <v>14886.13</v>
      </c>
    </row>
    <row r="22" spans="1:3" ht="15.5">
      <c r="A22" s="1" t="s">
        <v>22</v>
      </c>
      <c r="B22" s="4">
        <f t="shared" si="0"/>
        <v>3760.7608333333333</v>
      </c>
      <c r="C22" s="1">
        <v>45129.13</v>
      </c>
    </row>
    <row r="23" spans="1:3" ht="15.5">
      <c r="A23" s="1" t="s">
        <v>23</v>
      </c>
      <c r="B23" s="4">
        <f t="shared" si="0"/>
        <v>505.07666666666665</v>
      </c>
      <c r="C23" s="1">
        <v>6060.92</v>
      </c>
    </row>
    <row r="24" spans="1:3" ht="15.5">
      <c r="A24" s="1" t="s">
        <v>24</v>
      </c>
      <c r="B24" s="4">
        <f t="shared" si="0"/>
        <v>2438.8808333333332</v>
      </c>
      <c r="C24" s="1">
        <v>29266.57</v>
      </c>
    </row>
    <row r="25" spans="1:3" ht="15.5">
      <c r="A25" s="1" t="s">
        <v>25</v>
      </c>
      <c r="B25" s="4">
        <f t="shared" si="0"/>
        <v>246.87666666666667</v>
      </c>
      <c r="C25" s="1">
        <v>2962.52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9489.5941666666677</v>
      </c>
      <c r="C27" s="1">
        <v>113875.13</v>
      </c>
    </row>
    <row r="28" spans="1:3" ht="15.5">
      <c r="A28" s="2" t="s">
        <v>28</v>
      </c>
      <c r="B28" s="4">
        <f t="shared" si="0"/>
        <v>42047.125000000007</v>
      </c>
      <c r="C28" s="2">
        <f>SUM(C13:C27)</f>
        <v>504565.50000000006</v>
      </c>
    </row>
    <row r="29" spans="1:3" ht="23" customHeight="1">
      <c r="A29" s="2" t="s">
        <v>29</v>
      </c>
      <c r="B29" s="1"/>
      <c r="C29" s="2">
        <v>85695.67</v>
      </c>
    </row>
    <row r="30" spans="1:3" ht="27.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103236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-17540.330000000002</v>
      </c>
    </row>
    <row r="34" spans="1:3" ht="32" customHeight="1">
      <c r="A34" s="1" t="s">
        <v>34</v>
      </c>
      <c r="B34" s="1"/>
      <c r="C34" s="1"/>
    </row>
    <row r="35" spans="1:3" ht="41" customHeight="1">
      <c r="A35" s="1" t="s">
        <v>35</v>
      </c>
      <c r="B35" s="1"/>
      <c r="C35" s="1"/>
    </row>
    <row r="36" spans="1:3" ht="37" customHeight="1">
      <c r="A36" s="1" t="s">
        <v>64</v>
      </c>
      <c r="B36" s="1"/>
      <c r="C36" s="1"/>
    </row>
    <row r="37" spans="1:3" ht="2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opLeftCell="A25" workbookViewId="0">
      <selection activeCell="A37" sqref="A37"/>
    </sheetView>
  </sheetViews>
  <sheetFormatPr defaultRowHeight="14.5"/>
  <cols>
    <col min="1" max="1" width="44.81640625" customWidth="1"/>
    <col min="2" max="2" width="15.90625" customWidth="1"/>
    <col min="3" max="3" width="14.6328125" customWidth="1"/>
  </cols>
  <sheetData>
    <row r="1" spans="1:5" ht="15.5">
      <c r="A1" s="1" t="s">
        <v>0</v>
      </c>
      <c r="B1" s="1"/>
      <c r="C1" s="1"/>
    </row>
    <row r="2" spans="1:5" ht="15.5">
      <c r="A2" s="1" t="s">
        <v>40</v>
      </c>
      <c r="B2" s="1" t="s">
        <v>2</v>
      </c>
      <c r="C2" s="1"/>
    </row>
    <row r="3" spans="1:5" ht="15.5">
      <c r="A3" s="1" t="s">
        <v>3</v>
      </c>
      <c r="B3" s="1"/>
      <c r="C3" s="1"/>
    </row>
    <row r="4" spans="1:5" ht="15.5">
      <c r="A4" s="1" t="s">
        <v>4</v>
      </c>
      <c r="B4" s="1"/>
      <c r="C4" s="1"/>
    </row>
    <row r="5" spans="1:5" ht="15.5">
      <c r="A5" s="1" t="s">
        <v>37</v>
      </c>
      <c r="B5" s="1"/>
      <c r="C5" s="1"/>
    </row>
    <row r="6" spans="1:5" ht="15.5">
      <c r="A6" s="1"/>
      <c r="B6" s="1"/>
      <c r="C6" s="1"/>
    </row>
    <row r="7" spans="1:5" ht="15.5">
      <c r="A7" s="1" t="s">
        <v>5</v>
      </c>
      <c r="B7" s="1" t="s">
        <v>6</v>
      </c>
      <c r="C7" s="1" t="s">
        <v>7</v>
      </c>
    </row>
    <row r="8" spans="1:5" ht="15.5">
      <c r="A8" s="2" t="s">
        <v>8</v>
      </c>
      <c r="B8" s="1"/>
      <c r="C8" s="2">
        <v>60065.599999999999</v>
      </c>
    </row>
    <row r="9" spans="1:5" ht="45.5" customHeight="1">
      <c r="A9" s="3" t="s">
        <v>9</v>
      </c>
      <c r="B9" s="4">
        <f>C9/12</f>
        <v>41557.564166666671</v>
      </c>
      <c r="C9" s="1">
        <v>498690.77</v>
      </c>
    </row>
    <row r="10" spans="1:5" ht="46" customHeight="1">
      <c r="A10" s="3" t="s">
        <v>10</v>
      </c>
      <c r="B10" s="4">
        <f t="shared" ref="B10:B11" si="0">C10/12</f>
        <v>818.41666666666663</v>
      </c>
      <c r="C10" s="1">
        <v>9821</v>
      </c>
    </row>
    <row r="11" spans="1:5" ht="15.5">
      <c r="A11" s="2" t="s">
        <v>11</v>
      </c>
      <c r="B11" s="4">
        <f t="shared" si="0"/>
        <v>42375.980833333335</v>
      </c>
      <c r="C11" s="2">
        <f>SUM(C9:C10)</f>
        <v>508511.77</v>
      </c>
    </row>
    <row r="12" spans="1:5" ht="15.5">
      <c r="A12" s="2" t="s">
        <v>12</v>
      </c>
      <c r="B12" s="4"/>
      <c r="C12" s="1"/>
    </row>
    <row r="13" spans="1:5" ht="80.5" customHeight="1">
      <c r="A13" s="3" t="s">
        <v>13</v>
      </c>
      <c r="B13" s="4">
        <f>C13/12</f>
        <v>10631.0975</v>
      </c>
      <c r="C13" s="1">
        <f>104428.15+23145.02</f>
        <v>127573.17</v>
      </c>
      <c r="E13" t="s">
        <v>41</v>
      </c>
    </row>
    <row r="14" spans="1:5" ht="79" customHeight="1">
      <c r="A14" s="3" t="s">
        <v>14</v>
      </c>
      <c r="B14" s="4">
        <f t="shared" ref="B14:B28" si="1">C14/12</f>
        <v>6834.1833333333334</v>
      </c>
      <c r="C14" s="1">
        <f>25921.94+56088.26</f>
        <v>82010.2</v>
      </c>
    </row>
    <row r="15" spans="1:5" ht="61.5" customHeight="1">
      <c r="A15" s="3" t="s">
        <v>15</v>
      </c>
      <c r="B15" s="4">
        <f t="shared" si="1"/>
        <v>0</v>
      </c>
      <c r="C15" s="1"/>
    </row>
    <row r="16" spans="1:5" ht="15.5">
      <c r="A16" s="1" t="s">
        <v>16</v>
      </c>
      <c r="B16" s="4">
        <f t="shared" si="1"/>
        <v>7526.6366666666663</v>
      </c>
      <c r="C16" s="1">
        <v>90319.64</v>
      </c>
    </row>
    <row r="17" spans="1:3" ht="15.5">
      <c r="A17" s="1" t="s">
        <v>17</v>
      </c>
      <c r="B17" s="4">
        <f t="shared" si="1"/>
        <v>1535.86</v>
      </c>
      <c r="C17" s="1">
        <v>18430.32</v>
      </c>
    </row>
    <row r="18" spans="1:3" ht="15.5">
      <c r="A18" s="1" t="s">
        <v>18</v>
      </c>
      <c r="B18" s="4">
        <f t="shared" si="1"/>
        <v>146.81</v>
      </c>
      <c r="C18" s="1">
        <v>1761.72</v>
      </c>
    </row>
    <row r="19" spans="1:3" ht="15.5">
      <c r="A19" s="1" t="s">
        <v>19</v>
      </c>
      <c r="B19" s="4">
        <f t="shared" si="1"/>
        <v>0</v>
      </c>
      <c r="C19" s="1"/>
    </row>
    <row r="20" spans="1:3" ht="15.5">
      <c r="A20" s="1" t="s">
        <v>20</v>
      </c>
      <c r="B20" s="4">
        <f t="shared" si="1"/>
        <v>878.7833333333333</v>
      </c>
      <c r="C20" s="1">
        <v>10545.4</v>
      </c>
    </row>
    <row r="21" spans="1:3" ht="15.5">
      <c r="A21" s="1" t="s">
        <v>21</v>
      </c>
      <c r="B21" s="4">
        <f t="shared" si="1"/>
        <v>1126.4091666666666</v>
      </c>
      <c r="C21" s="1">
        <v>13516.91</v>
      </c>
    </row>
    <row r="22" spans="1:3" ht="15.5">
      <c r="A22" s="1" t="s">
        <v>22</v>
      </c>
      <c r="B22" s="4">
        <f t="shared" si="1"/>
        <v>3608.9458333333332</v>
      </c>
      <c r="C22" s="1">
        <v>43307.35</v>
      </c>
    </row>
    <row r="23" spans="1:3" ht="15.5">
      <c r="A23" s="1" t="s">
        <v>23</v>
      </c>
      <c r="B23" s="4">
        <f t="shared" si="1"/>
        <v>515.44333333333327</v>
      </c>
      <c r="C23" s="1">
        <v>6185.32</v>
      </c>
    </row>
    <row r="24" spans="1:3" ht="15.5">
      <c r="A24" s="1" t="s">
        <v>24</v>
      </c>
      <c r="B24" s="4">
        <f t="shared" si="1"/>
        <v>2196.4699999999998</v>
      </c>
      <c r="C24" s="1">
        <v>26357.64</v>
      </c>
    </row>
    <row r="25" spans="1:3" ht="15.5">
      <c r="A25" s="1" t="s">
        <v>25</v>
      </c>
      <c r="B25" s="4">
        <f t="shared" si="1"/>
        <v>0</v>
      </c>
      <c r="C25" s="1"/>
    </row>
    <row r="26" spans="1:3" ht="15.5">
      <c r="A26" s="1" t="s">
        <v>26</v>
      </c>
      <c r="B26" s="4">
        <f t="shared" si="1"/>
        <v>0</v>
      </c>
      <c r="C26" s="1"/>
    </row>
    <row r="27" spans="1:3" ht="15.5">
      <c r="A27" s="1" t="s">
        <v>27</v>
      </c>
      <c r="B27" s="4">
        <f t="shared" si="1"/>
        <v>9106.5158333333329</v>
      </c>
      <c r="C27" s="1">
        <v>109278.19</v>
      </c>
    </row>
    <row r="28" spans="1:3" ht="15.5">
      <c r="A28" s="2" t="s">
        <v>28</v>
      </c>
      <c r="B28" s="4">
        <f t="shared" si="1"/>
        <v>44107.154999999999</v>
      </c>
      <c r="C28" s="2">
        <f>SUM(C13:C27)</f>
        <v>529285.86</v>
      </c>
    </row>
    <row r="29" spans="1:3" ht="15.5">
      <c r="A29" s="2" t="s">
        <v>29</v>
      </c>
      <c r="B29" s="1"/>
      <c r="C29" s="2">
        <v>39291.51</v>
      </c>
    </row>
    <row r="30" spans="1:3" ht="15.5">
      <c r="A30" s="2" t="s">
        <v>30</v>
      </c>
      <c r="B30" s="1"/>
      <c r="C30" s="2"/>
    </row>
    <row r="31" spans="1:3" ht="61.5" customHeight="1">
      <c r="A31" s="3" t="s">
        <v>31</v>
      </c>
      <c r="B31" s="1"/>
      <c r="C31" s="1">
        <v>168497.92000000001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-129206.41</v>
      </c>
    </row>
    <row r="34" spans="1:3" ht="27.5" customHeight="1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3.54296875" customWidth="1"/>
    <col min="2" max="2" width="14.632812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82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8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162033.32</v>
      </c>
    </row>
    <row r="9" spans="1:3" ht="46.5">
      <c r="A9" s="3" t="s">
        <v>9</v>
      </c>
      <c r="B9" s="4">
        <f>C9/12</f>
        <v>55662.999166666668</v>
      </c>
      <c r="C9" s="1">
        <v>667955.99</v>
      </c>
    </row>
    <row r="10" spans="1:3" ht="46.5">
      <c r="A10" s="3" t="s">
        <v>10</v>
      </c>
      <c r="B10" s="4">
        <f t="shared" ref="B10:B27" si="0">C10/12</f>
        <v>2370.5</v>
      </c>
      <c r="C10" s="1">
        <v>28446</v>
      </c>
    </row>
    <row r="11" spans="1:3" ht="15.5">
      <c r="A11" s="2" t="s">
        <v>11</v>
      </c>
      <c r="B11" s="4">
        <f t="shared" si="0"/>
        <v>58033.499166666668</v>
      </c>
      <c r="C11" s="2">
        <f>SUM(C9:C10)</f>
        <v>696401.99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15781.402500000002</v>
      </c>
      <c r="C13" s="1">
        <f>146803.41+42573.42</f>
        <v>189376.83000000002</v>
      </c>
    </row>
    <row r="14" spans="1:3" ht="77.5">
      <c r="A14" s="3" t="s">
        <v>14</v>
      </c>
      <c r="B14" s="4">
        <f t="shared" si="0"/>
        <v>9157.3625000000011</v>
      </c>
      <c r="C14" s="1">
        <f>44592.15+65296.2</f>
        <v>109888.35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2474.6666666666665</v>
      </c>
      <c r="C16" s="1">
        <v>29696</v>
      </c>
    </row>
    <row r="17" spans="1:3" ht="15.5">
      <c r="A17" s="1" t="s">
        <v>17</v>
      </c>
      <c r="B17" s="4">
        <f t="shared" si="0"/>
        <v>2173.0099999999998</v>
      </c>
      <c r="C17" s="1">
        <v>26076.12</v>
      </c>
    </row>
    <row r="18" spans="1:3" ht="15.5">
      <c r="A18" s="1" t="s">
        <v>18</v>
      </c>
      <c r="B18" s="4">
        <f t="shared" si="0"/>
        <v>270.07</v>
      </c>
      <c r="C18" s="1">
        <v>3240.84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1098.4791666666667</v>
      </c>
      <c r="C20" s="1">
        <v>13181.75</v>
      </c>
    </row>
    <row r="21" spans="1:3" ht="15.5">
      <c r="A21" s="1" t="s">
        <v>21</v>
      </c>
      <c r="B21" s="4">
        <f t="shared" si="0"/>
        <v>1542.6324999999999</v>
      </c>
      <c r="C21" s="1">
        <v>18511.59</v>
      </c>
    </row>
    <row r="22" spans="1:3" ht="15.5">
      <c r="A22" s="1" t="s">
        <v>22</v>
      </c>
      <c r="B22" s="4">
        <f t="shared" si="0"/>
        <v>5942.1616666666669</v>
      </c>
      <c r="C22" s="1">
        <v>71305.94</v>
      </c>
    </row>
    <row r="23" spans="1:3" ht="15.5">
      <c r="A23" s="1" t="s">
        <v>23</v>
      </c>
      <c r="B23" s="4">
        <f t="shared" si="0"/>
        <v>512.38166666666666</v>
      </c>
      <c r="C23" s="1">
        <v>6148.58</v>
      </c>
    </row>
    <row r="24" spans="1:3" ht="15.5">
      <c r="A24" s="1" t="s">
        <v>24</v>
      </c>
      <c r="B24" s="4">
        <f t="shared" si="0"/>
        <v>3234.895</v>
      </c>
      <c r="C24" s="1">
        <v>38818.74</v>
      </c>
    </row>
    <row r="25" spans="1:3" ht="15.5">
      <c r="A25" s="1" t="s">
        <v>25</v>
      </c>
      <c r="B25" s="4">
        <f t="shared" si="0"/>
        <v>733.68666666666661</v>
      </c>
      <c r="C25" s="1">
        <v>8804.24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15391.196666666665</v>
      </c>
      <c r="C27" s="1">
        <v>184694.36</v>
      </c>
    </row>
    <row r="28" spans="1:3" ht="15.5">
      <c r="A28" s="2" t="s">
        <v>28</v>
      </c>
      <c r="B28" s="4"/>
      <c r="C28" s="2">
        <f>SUM(C13:C27)</f>
        <v>699743.34000000008</v>
      </c>
    </row>
    <row r="29" spans="1:3" ht="17" customHeight="1">
      <c r="A29" s="2" t="s">
        <v>29</v>
      </c>
      <c r="B29" s="1"/>
      <c r="C29" s="2">
        <v>158691.97</v>
      </c>
    </row>
    <row r="30" spans="1:3" ht="16.5" customHeight="1">
      <c r="A30" s="2" t="s">
        <v>30</v>
      </c>
      <c r="B30" s="1"/>
      <c r="C30" s="2"/>
    </row>
    <row r="31" spans="1:3" ht="47" customHeight="1">
      <c r="A31" s="3" t="s">
        <v>31</v>
      </c>
      <c r="B31" s="1"/>
      <c r="C31" s="1">
        <v>137175.44</v>
      </c>
    </row>
    <row r="32" spans="1:3" ht="62" hidden="1">
      <c r="A32" s="3" t="s">
        <v>32</v>
      </c>
      <c r="B32" s="1"/>
      <c r="C32" s="1"/>
    </row>
    <row r="33" spans="1:3" ht="29.5" customHeight="1">
      <c r="A33" s="2" t="s">
        <v>33</v>
      </c>
      <c r="B33" s="2"/>
      <c r="C33" s="2">
        <v>21516.53</v>
      </c>
    </row>
    <row r="34" spans="1:3" ht="33.5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8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.453125" customWidth="1"/>
    <col min="2" max="3" width="17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83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20874.740000000002</v>
      </c>
    </row>
    <row r="9" spans="1:3" ht="46.5">
      <c r="A9" s="3" t="s">
        <v>9</v>
      </c>
      <c r="B9" s="4">
        <f>C9/12</f>
        <v>60235.636666666665</v>
      </c>
      <c r="C9" s="1">
        <v>722827.64</v>
      </c>
    </row>
    <row r="10" spans="1:3" ht="49" customHeight="1">
      <c r="A10" s="3" t="s">
        <v>10</v>
      </c>
      <c r="B10" s="4">
        <f t="shared" ref="B10:B28" si="0">C10/12</f>
        <v>1960.2083333333333</v>
      </c>
      <c r="C10" s="1">
        <v>23522.5</v>
      </c>
    </row>
    <row r="11" spans="1:3" ht="15.5">
      <c r="A11" s="2" t="s">
        <v>11</v>
      </c>
      <c r="B11" s="4">
        <f t="shared" si="0"/>
        <v>62195.845000000001</v>
      </c>
      <c r="C11" s="2">
        <f>SUM(C9:C10)</f>
        <v>746350.14</v>
      </c>
    </row>
    <row r="12" spans="1:3" ht="15.5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15361.722500000002</v>
      </c>
      <c r="C13" s="1">
        <f>150896.57+33444.1</f>
        <v>184340.67</v>
      </c>
    </row>
    <row r="14" spans="1:3" ht="77.5">
      <c r="A14" s="3" t="s">
        <v>14</v>
      </c>
      <c r="B14" s="4">
        <f t="shared" si="0"/>
        <v>11227.470000000001</v>
      </c>
      <c r="C14" s="1">
        <f>50285.28+84444.36</f>
        <v>134729.64000000001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4517.916666666667</v>
      </c>
      <c r="C16" s="1">
        <v>54215</v>
      </c>
    </row>
    <row r="17" spans="1:3" ht="15.5">
      <c r="A17" s="1" t="s">
        <v>17</v>
      </c>
      <c r="B17" s="4">
        <f t="shared" si="0"/>
        <v>2161.2000000000003</v>
      </c>
      <c r="C17" s="1">
        <v>25934.400000000001</v>
      </c>
    </row>
    <row r="18" spans="1:3" ht="15.5">
      <c r="A18" s="1" t="s">
        <v>18</v>
      </c>
      <c r="B18" s="4">
        <f t="shared" si="0"/>
        <v>273.02</v>
      </c>
      <c r="C18" s="1">
        <v>3276.24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1098.4791666666667</v>
      </c>
      <c r="C20" s="1">
        <v>13181.75</v>
      </c>
    </row>
    <row r="21" spans="1:3" ht="15.5">
      <c r="A21" s="1" t="s">
        <v>21</v>
      </c>
      <c r="B21" s="4">
        <f t="shared" si="0"/>
        <v>1633.9358333333332</v>
      </c>
      <c r="C21" s="1">
        <v>19607.23</v>
      </c>
    </row>
    <row r="22" spans="1:3" ht="15.5">
      <c r="A22" s="1" t="s">
        <v>22</v>
      </c>
      <c r="B22" s="4">
        <f t="shared" si="0"/>
        <v>5079.9541666666664</v>
      </c>
      <c r="C22" s="1">
        <v>60959.45</v>
      </c>
    </row>
    <row r="23" spans="1:3" ht="15.5">
      <c r="A23" s="1" t="s">
        <v>23</v>
      </c>
      <c r="B23" s="4">
        <f t="shared" si="0"/>
        <v>630.89750000000004</v>
      </c>
      <c r="C23" s="1">
        <v>7570.77</v>
      </c>
    </row>
    <row r="24" spans="1:3" ht="15.5">
      <c r="A24" s="1" t="s">
        <v>24</v>
      </c>
      <c r="B24" s="4">
        <f t="shared" si="0"/>
        <v>3223.7916666666665</v>
      </c>
      <c r="C24" s="1">
        <v>38685.5</v>
      </c>
    </row>
    <row r="25" spans="1:3" ht="15.5">
      <c r="A25" s="1" t="s">
        <v>25</v>
      </c>
      <c r="B25" s="4">
        <f t="shared" si="0"/>
        <v>366.68833333333333</v>
      </c>
      <c r="C25" s="1">
        <v>4400.26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12818.338333333333</v>
      </c>
      <c r="C27" s="1">
        <v>153820.06</v>
      </c>
    </row>
    <row r="28" spans="1:3" ht="15.5">
      <c r="A28" s="2" t="s">
        <v>28</v>
      </c>
      <c r="B28" s="4">
        <f t="shared" si="0"/>
        <v>58393.414166666684</v>
      </c>
      <c r="C28" s="2">
        <f>SUM(C13:C27)</f>
        <v>700720.9700000002</v>
      </c>
    </row>
    <row r="29" spans="1:3" ht="23" customHeight="1">
      <c r="A29" s="2" t="s">
        <v>29</v>
      </c>
      <c r="B29" s="1"/>
      <c r="C29" s="2">
        <v>66503.91</v>
      </c>
    </row>
    <row r="30" spans="1:3" ht="25.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44643.26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21860.65</v>
      </c>
    </row>
    <row r="34" spans="1:3" ht="34" customHeight="1">
      <c r="A34" s="1" t="s">
        <v>34</v>
      </c>
      <c r="B34" s="1"/>
      <c r="C34" s="1"/>
    </row>
    <row r="35" spans="1:3" ht="28.5" customHeight="1">
      <c r="A35" s="1" t="s">
        <v>35</v>
      </c>
      <c r="B35" s="1"/>
      <c r="C35" s="1"/>
    </row>
    <row r="36" spans="1:3" ht="27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" customWidth="1"/>
    <col min="2" max="2" width="16" customWidth="1"/>
    <col min="3" max="3" width="15.08984375" customWidth="1"/>
  </cols>
  <sheetData>
    <row r="1" spans="1:3" ht="15.5">
      <c r="A1" s="1" t="s">
        <v>0</v>
      </c>
      <c r="B1" s="1"/>
      <c r="C1" s="1"/>
    </row>
    <row r="2" spans="1:3" ht="15.5">
      <c r="A2" s="1" t="s">
        <v>84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94527.4</v>
      </c>
    </row>
    <row r="9" spans="1:3" ht="46.5">
      <c r="A9" s="3" t="s">
        <v>9</v>
      </c>
      <c r="B9" s="4">
        <f>C9/12</f>
        <v>53343.618333333339</v>
      </c>
      <c r="C9" s="1">
        <v>640123.42000000004</v>
      </c>
    </row>
    <row r="10" spans="1:3" ht="46.5">
      <c r="A10" s="3" t="s">
        <v>10</v>
      </c>
      <c r="B10" s="4">
        <f t="shared" ref="B10:B28" si="0">C10/12</f>
        <v>1270.1666666666667</v>
      </c>
      <c r="C10" s="1">
        <v>15242</v>
      </c>
    </row>
    <row r="11" spans="1:3" ht="15.5">
      <c r="A11" s="2" t="s">
        <v>11</v>
      </c>
      <c r="B11" s="4">
        <f t="shared" si="0"/>
        <v>54613.785000000003</v>
      </c>
      <c r="C11" s="2">
        <f>SUM(C9:C10)</f>
        <v>655365.42000000004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15276.739166666666</v>
      </c>
      <c r="C13" s="1">
        <f>137783.17+45537.7</f>
        <v>183320.87</v>
      </c>
    </row>
    <row r="14" spans="1:3" ht="77.5">
      <c r="A14" s="3" t="s">
        <v>14</v>
      </c>
      <c r="B14" s="4">
        <f t="shared" si="0"/>
        <v>9788.5733333333337</v>
      </c>
      <c r="C14" s="1">
        <f>58181.94+59280.94</f>
        <v>117462.88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1567</v>
      </c>
      <c r="C16" s="1">
        <v>18804</v>
      </c>
    </row>
    <row r="17" spans="1:3" ht="15.5">
      <c r="A17" s="1" t="s">
        <v>17</v>
      </c>
      <c r="B17" s="4">
        <f t="shared" si="0"/>
        <v>1985.47</v>
      </c>
      <c r="C17" s="1">
        <v>23825.64</v>
      </c>
    </row>
    <row r="18" spans="1:3" ht="15.5">
      <c r="A18" s="1" t="s">
        <v>18</v>
      </c>
      <c r="B18" s="4">
        <f t="shared" si="0"/>
        <v>147.4</v>
      </c>
      <c r="C18" s="1">
        <v>1768.8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1109.4641666666666</v>
      </c>
      <c r="C20" s="1">
        <v>13313.57</v>
      </c>
    </row>
    <row r="21" spans="1:3" ht="15.5">
      <c r="A21" s="1" t="s">
        <v>21</v>
      </c>
      <c r="B21" s="4">
        <f t="shared" si="0"/>
        <v>1500.4966666666667</v>
      </c>
      <c r="C21" s="1">
        <v>18005.96</v>
      </c>
    </row>
    <row r="22" spans="1:3" ht="15.5">
      <c r="A22" s="1" t="s">
        <v>22</v>
      </c>
      <c r="B22" s="4">
        <f t="shared" si="0"/>
        <v>5918.1575000000003</v>
      </c>
      <c r="C22" s="1">
        <v>71017.89</v>
      </c>
    </row>
    <row r="23" spans="1:3" ht="15.5">
      <c r="A23" s="1" t="s">
        <v>23</v>
      </c>
      <c r="B23" s="4">
        <f t="shared" si="0"/>
        <v>622.64416666666659</v>
      </c>
      <c r="C23" s="1">
        <v>7471.73</v>
      </c>
    </row>
    <row r="24" spans="1:3" ht="15.5">
      <c r="A24" s="1" t="s">
        <v>24</v>
      </c>
      <c r="B24" s="4">
        <f t="shared" si="0"/>
        <v>2960.3733333333334</v>
      </c>
      <c r="C24" s="1">
        <v>35524.480000000003</v>
      </c>
    </row>
    <row r="25" spans="1:3" ht="15.5">
      <c r="A25" s="1" t="s">
        <v>25</v>
      </c>
      <c r="B25" s="4">
        <f t="shared" si="0"/>
        <v>366.68833333333333</v>
      </c>
      <c r="C25" s="1">
        <v>4400.26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16779.244166666667</v>
      </c>
      <c r="C27" s="1">
        <v>201350.93</v>
      </c>
    </row>
    <row r="28" spans="1:3" ht="18.5" customHeight="1">
      <c r="A28" s="2" t="s">
        <v>28</v>
      </c>
      <c r="B28" s="4">
        <f t="shared" si="0"/>
        <v>58022.250833333332</v>
      </c>
      <c r="C28" s="2">
        <f>SUM(C13:C27)</f>
        <v>696267.01</v>
      </c>
    </row>
    <row r="29" spans="1:3" ht="25" customHeight="1">
      <c r="A29" s="2" t="s">
        <v>29</v>
      </c>
      <c r="B29" s="1"/>
      <c r="C29" s="2">
        <v>53625.81</v>
      </c>
    </row>
    <row r="30" spans="1:3" ht="19.5" customHeight="1">
      <c r="A30" s="2" t="s">
        <v>30</v>
      </c>
      <c r="B30" s="1"/>
      <c r="C30" s="2"/>
    </row>
    <row r="31" spans="1:3" ht="38.5" customHeight="1">
      <c r="A31" s="3" t="s">
        <v>31</v>
      </c>
      <c r="B31" s="1"/>
      <c r="C31" s="1">
        <v>32961.82</v>
      </c>
    </row>
    <row r="32" spans="1:3" ht="62" hidden="1">
      <c r="A32" s="3" t="s">
        <v>32</v>
      </c>
      <c r="B32" s="1"/>
      <c r="C32" s="1"/>
    </row>
    <row r="33" spans="1:3" ht="30" customHeight="1">
      <c r="A33" s="2" t="s">
        <v>33</v>
      </c>
      <c r="B33" s="2"/>
      <c r="C33" s="2">
        <v>20663.990000000002</v>
      </c>
    </row>
    <row r="34" spans="1:3" ht="40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3" customHeight="1">
      <c r="A36" s="1" t="s">
        <v>64</v>
      </c>
      <c r="B36" s="1"/>
      <c r="C36" s="1"/>
    </row>
    <row r="37" spans="1:3" ht="3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7.1796875" customWidth="1"/>
    <col min="2" max="2" width="17.453125" customWidth="1"/>
    <col min="3" max="3" width="16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85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-195591.24</v>
      </c>
    </row>
    <row r="9" spans="1:3" ht="31">
      <c r="A9" s="3" t="s">
        <v>9</v>
      </c>
      <c r="B9" s="4">
        <f>C9/12</f>
        <v>70127.7</v>
      </c>
      <c r="C9" s="1">
        <v>841532.4</v>
      </c>
    </row>
    <row r="10" spans="1:3" ht="46.5">
      <c r="A10" s="3" t="s">
        <v>10</v>
      </c>
      <c r="B10" s="4">
        <f t="shared" ref="B10:B28" si="0">C10/12</f>
        <v>7779.0041666666666</v>
      </c>
      <c r="C10" s="1">
        <f>62335.72+2518.83+28493.5</f>
        <v>93348.05</v>
      </c>
    </row>
    <row r="11" spans="1:3" ht="15.5">
      <c r="A11" s="2" t="s">
        <v>11</v>
      </c>
      <c r="B11" s="4">
        <f t="shared" si="0"/>
        <v>77906.704166666677</v>
      </c>
      <c r="C11" s="2">
        <f>SUM(C9:C10)</f>
        <v>934880.45000000007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20012.404999999999</v>
      </c>
      <c r="C13" s="1">
        <f>196579.72+43569.14</f>
        <v>240148.86</v>
      </c>
    </row>
    <row r="14" spans="1:3" ht="80" customHeight="1">
      <c r="A14" s="3" t="s">
        <v>14</v>
      </c>
      <c r="B14" s="4">
        <f t="shared" si="0"/>
        <v>15218.411666666667</v>
      </c>
      <c r="C14" s="1">
        <f>77235.62+105385.32</f>
        <v>182620.94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4362.25</v>
      </c>
      <c r="C16" s="1">
        <v>52347</v>
      </c>
    </row>
    <row r="17" spans="1:3" ht="15.5">
      <c r="A17" s="1" t="s">
        <v>17</v>
      </c>
      <c r="B17" s="4">
        <f t="shared" si="0"/>
        <v>2750.4500000000003</v>
      </c>
      <c r="C17" s="1">
        <v>33005.4</v>
      </c>
    </row>
    <row r="18" spans="1:3" ht="15.5">
      <c r="A18" s="1" t="s">
        <v>18</v>
      </c>
      <c r="B18" s="4">
        <f t="shared" si="0"/>
        <v>385.57</v>
      </c>
      <c r="C18" s="1">
        <v>4626.84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1010.6008333333333</v>
      </c>
      <c r="C20" s="1">
        <v>12127.21</v>
      </c>
    </row>
    <row r="21" spans="1:3" ht="15.5">
      <c r="A21" s="1" t="s">
        <v>21</v>
      </c>
      <c r="B21" s="4">
        <f t="shared" si="0"/>
        <v>2055.7691666666665</v>
      </c>
      <c r="C21" s="1">
        <v>24669.23</v>
      </c>
    </row>
    <row r="22" spans="1:3" ht="15.5">
      <c r="A22" s="1" t="s">
        <v>22</v>
      </c>
      <c r="B22" s="4">
        <f t="shared" si="0"/>
        <v>6536.8641666666663</v>
      </c>
      <c r="C22" s="1">
        <v>78442.37</v>
      </c>
    </row>
    <row r="23" spans="1:3" ht="15.5">
      <c r="A23" s="1" t="s">
        <v>23</v>
      </c>
      <c r="B23" s="4">
        <f t="shared" si="0"/>
        <v>134.36500000000001</v>
      </c>
      <c r="C23" s="1">
        <v>1612.38</v>
      </c>
    </row>
    <row r="24" spans="1:3" ht="15.5">
      <c r="A24" s="1" t="s">
        <v>24</v>
      </c>
      <c r="B24" s="4">
        <f t="shared" si="0"/>
        <v>4027.2508333333335</v>
      </c>
      <c r="C24" s="1">
        <v>48327.01</v>
      </c>
    </row>
    <row r="25" spans="1:3" ht="15.5">
      <c r="A25" s="1" t="s">
        <v>25</v>
      </c>
      <c r="B25" s="4">
        <f t="shared" si="0"/>
        <v>332.435</v>
      </c>
      <c r="C25" s="1">
        <v>3989.22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16494.584166666667</v>
      </c>
      <c r="C27" s="1">
        <v>197935.01</v>
      </c>
    </row>
    <row r="28" spans="1:3" ht="15.5">
      <c r="A28" s="2" t="s">
        <v>28</v>
      </c>
      <c r="B28" s="4">
        <f t="shared" si="0"/>
        <v>73320.955833333326</v>
      </c>
      <c r="C28" s="2">
        <f>SUM(C13:C27)</f>
        <v>879851.47</v>
      </c>
    </row>
    <row r="29" spans="1:3" ht="24.5" customHeight="1">
      <c r="A29" s="2" t="s">
        <v>29</v>
      </c>
      <c r="B29" s="1"/>
      <c r="C29" s="2"/>
    </row>
    <row r="30" spans="1:3" ht="30" customHeight="1">
      <c r="A30" s="2" t="s">
        <v>30</v>
      </c>
      <c r="B30" s="1"/>
      <c r="C30" s="2">
        <v>140562.26</v>
      </c>
    </row>
    <row r="31" spans="1:3" ht="47.5" customHeight="1">
      <c r="A31" s="3" t="s">
        <v>31</v>
      </c>
      <c r="B31" s="1"/>
      <c r="C31" s="1">
        <v>123176.59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-263738.84999999998</v>
      </c>
    </row>
    <row r="34" spans="1:3" ht="44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28.5" customHeight="1">
      <c r="A36" s="1" t="s">
        <v>64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6.453125" customWidth="1"/>
    <col min="2" max="2" width="16.81640625" customWidth="1"/>
    <col min="3" max="3" width="15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86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158102.07999999999</v>
      </c>
    </row>
    <row r="9" spans="1:3" ht="33.5" customHeight="1">
      <c r="A9" s="3" t="s">
        <v>9</v>
      </c>
      <c r="B9" s="4">
        <f>C9/12</f>
        <v>58355.094166666669</v>
      </c>
      <c r="C9" s="1">
        <v>700261.13</v>
      </c>
    </row>
    <row r="10" spans="1:3" ht="46.5">
      <c r="A10" s="3" t="s">
        <v>10</v>
      </c>
      <c r="B10" s="4">
        <f t="shared" ref="B10:B28" si="0">C10/12</f>
        <v>2516.0416666666665</v>
      </c>
      <c r="C10" s="1">
        <v>30192.5</v>
      </c>
    </row>
    <row r="11" spans="1:3" ht="15.5">
      <c r="A11" s="2" t="s">
        <v>11</v>
      </c>
      <c r="B11" s="4">
        <f t="shared" si="0"/>
        <v>60871.135833333334</v>
      </c>
      <c r="C11" s="2">
        <f>SUM(C9:C10)</f>
        <v>730453.63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15236.096666666666</v>
      </c>
      <c r="C13" s="1">
        <f>149662.56+33170.6</f>
        <v>182833.16</v>
      </c>
    </row>
    <row r="14" spans="1:3" ht="77.5">
      <c r="A14" s="3" t="s">
        <v>14</v>
      </c>
      <c r="B14" s="4">
        <f t="shared" si="0"/>
        <v>8358.7099999999991</v>
      </c>
      <c r="C14" s="1">
        <f>45365.92+54938.6</f>
        <v>100304.51999999999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10118.166666666666</v>
      </c>
      <c r="C16" s="1">
        <v>121418</v>
      </c>
    </row>
    <row r="17" spans="1:3" ht="15.5">
      <c r="A17" s="1" t="s">
        <v>17</v>
      </c>
      <c r="B17" s="4">
        <f t="shared" si="0"/>
        <v>2163.89</v>
      </c>
      <c r="C17" s="1">
        <v>25966.68</v>
      </c>
    </row>
    <row r="18" spans="1:3" ht="15.5">
      <c r="A18" s="1" t="s">
        <v>18</v>
      </c>
      <c r="B18" s="4">
        <f t="shared" si="0"/>
        <v>365.84</v>
      </c>
      <c r="C18" s="1">
        <v>4390.08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1098.4791666666667</v>
      </c>
      <c r="C20" s="1">
        <v>13181.75</v>
      </c>
    </row>
    <row r="21" spans="1:3" ht="15.5">
      <c r="A21" s="1" t="s">
        <v>21</v>
      </c>
      <c r="B21" s="4">
        <f t="shared" si="0"/>
        <v>1664.5874999999999</v>
      </c>
      <c r="C21" s="1">
        <v>19975.05</v>
      </c>
    </row>
    <row r="22" spans="1:3" ht="15.5">
      <c r="A22" s="1" t="s">
        <v>22</v>
      </c>
      <c r="B22" s="4">
        <f t="shared" si="0"/>
        <v>5919.604166666667</v>
      </c>
      <c r="C22" s="1">
        <v>71035.25</v>
      </c>
    </row>
    <row r="23" spans="1:3" ht="15.5">
      <c r="A23" s="1" t="s">
        <v>23</v>
      </c>
      <c r="B23" s="4">
        <f t="shared" si="0"/>
        <v>100.44333333333333</v>
      </c>
      <c r="C23" s="1">
        <v>1205.32</v>
      </c>
    </row>
    <row r="24" spans="1:3" ht="15.5">
      <c r="A24" s="1" t="s">
        <v>24</v>
      </c>
      <c r="B24" s="4">
        <f t="shared" si="0"/>
        <v>3241.5158333333334</v>
      </c>
      <c r="C24" s="1">
        <v>38898.19</v>
      </c>
    </row>
    <row r="25" spans="1:3" ht="15.5">
      <c r="A25" s="1" t="s">
        <v>25</v>
      </c>
      <c r="B25" s="4">
        <f t="shared" si="0"/>
        <v>332.71083333333337</v>
      </c>
      <c r="C25" s="1">
        <v>3992.53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14500.942499999999</v>
      </c>
      <c r="C27" s="1">
        <v>174011.31</v>
      </c>
    </row>
    <row r="28" spans="1:3" ht="15.5">
      <c r="A28" s="2" t="s">
        <v>28</v>
      </c>
      <c r="B28" s="4">
        <f t="shared" si="0"/>
        <v>63100.986666666671</v>
      </c>
      <c r="C28" s="2">
        <f>SUM(C13:C27)</f>
        <v>757211.84000000008</v>
      </c>
    </row>
    <row r="29" spans="1:3" ht="22.5" customHeight="1">
      <c r="A29" s="2" t="s">
        <v>29</v>
      </c>
      <c r="B29" s="1"/>
      <c r="C29" s="2">
        <v>131343.87</v>
      </c>
    </row>
    <row r="30" spans="1:3" ht="22" customHeight="1">
      <c r="A30" s="2" t="s">
        <v>30</v>
      </c>
      <c r="B30" s="1"/>
      <c r="C30" s="2"/>
    </row>
    <row r="31" spans="1:3" ht="48.5" customHeight="1">
      <c r="A31" s="3" t="s">
        <v>31</v>
      </c>
      <c r="B31" s="1"/>
      <c r="C31" s="1">
        <v>111469.43</v>
      </c>
    </row>
    <row r="32" spans="1:3" ht="0.5" customHeight="1">
      <c r="A32" s="3" t="s">
        <v>32</v>
      </c>
      <c r="B32" s="1"/>
      <c r="C32" s="1"/>
    </row>
    <row r="33" spans="1:3" ht="37.5" customHeight="1">
      <c r="A33" s="2" t="s">
        <v>33</v>
      </c>
      <c r="B33" s="2"/>
      <c r="C33" s="2">
        <v>19874.439999999999</v>
      </c>
    </row>
    <row r="34" spans="1:3" ht="38.5" customHeight="1">
      <c r="A34" s="1" t="s">
        <v>34</v>
      </c>
      <c r="B34" s="1"/>
      <c r="C34" s="1"/>
    </row>
    <row r="35" spans="1:3" ht="26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9"/>
    </sheetView>
  </sheetViews>
  <sheetFormatPr defaultRowHeight="14.5"/>
  <cols>
    <col min="1" max="1" width="47.453125" customWidth="1"/>
    <col min="2" max="2" width="14.6328125" customWidth="1"/>
    <col min="3" max="3" width="14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87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170205.09</v>
      </c>
    </row>
    <row r="9" spans="1:3" ht="32.5" customHeight="1">
      <c r="A9" s="3" t="s">
        <v>9</v>
      </c>
      <c r="B9" s="4">
        <f>C9/12</f>
        <v>59292.909166666672</v>
      </c>
      <c r="C9" s="1">
        <v>711514.91</v>
      </c>
    </row>
    <row r="10" spans="1:3" ht="46.5">
      <c r="A10" s="3" t="s">
        <v>10</v>
      </c>
      <c r="B10" s="4">
        <f t="shared" ref="B10:B28" si="0">C10/12</f>
        <v>2085.2083333333335</v>
      </c>
      <c r="C10" s="1">
        <v>25022.5</v>
      </c>
    </row>
    <row r="11" spans="1:3" ht="15.5">
      <c r="A11" s="2" t="s">
        <v>11</v>
      </c>
      <c r="B11" s="4">
        <f t="shared" si="0"/>
        <v>61378.1175</v>
      </c>
      <c r="C11" s="2">
        <f>SUM(C9:C10)</f>
        <v>736537.41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16916.961666666666</v>
      </c>
      <c r="C13" s="1">
        <f>149802.02+53201.52</f>
        <v>203003.53999999998</v>
      </c>
    </row>
    <row r="14" spans="1:3" ht="77.5">
      <c r="A14" s="3" t="s">
        <v>14</v>
      </c>
      <c r="B14" s="4">
        <f t="shared" si="0"/>
        <v>9572.875</v>
      </c>
      <c r="C14" s="1">
        <f>43044.12+71830.38</f>
        <v>114874.5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6649.25</v>
      </c>
      <c r="C16" s="1">
        <v>79791</v>
      </c>
    </row>
    <row r="17" spans="1:3" ht="15.5">
      <c r="A17" s="1" t="s">
        <v>17</v>
      </c>
      <c r="B17" s="4">
        <f t="shared" si="0"/>
        <v>2175.79</v>
      </c>
      <c r="C17" s="1">
        <v>26109.48</v>
      </c>
    </row>
    <row r="18" spans="1:3" ht="15.5">
      <c r="A18" s="1" t="s">
        <v>18</v>
      </c>
      <c r="B18" s="4">
        <f t="shared" si="0"/>
        <v>208.85</v>
      </c>
      <c r="C18" s="1">
        <v>2506.1999999999998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1098.4791666666667</v>
      </c>
      <c r="C20" s="1">
        <v>13181.75</v>
      </c>
    </row>
    <row r="21" spans="1:3" ht="15.5">
      <c r="A21" s="1" t="s">
        <v>21</v>
      </c>
      <c r="B21" s="4">
        <f t="shared" si="0"/>
        <v>1662.4724999999999</v>
      </c>
      <c r="C21" s="1">
        <v>19949.669999999998</v>
      </c>
    </row>
    <row r="22" spans="1:3" ht="15.5">
      <c r="A22" s="1" t="s">
        <v>22</v>
      </c>
      <c r="B22" s="4">
        <f t="shared" si="0"/>
        <v>6780.12</v>
      </c>
      <c r="C22" s="1">
        <v>81361.440000000002</v>
      </c>
    </row>
    <row r="23" spans="1:3" ht="15.5">
      <c r="A23" s="1" t="s">
        <v>23</v>
      </c>
      <c r="B23" s="4">
        <f t="shared" si="0"/>
        <v>66.079166666666666</v>
      </c>
      <c r="C23" s="1">
        <v>792.95</v>
      </c>
    </row>
    <row r="24" spans="1:3" ht="15.5">
      <c r="A24" s="1" t="s">
        <v>24</v>
      </c>
      <c r="B24" s="4">
        <f t="shared" si="0"/>
        <v>3267.7941666666666</v>
      </c>
      <c r="C24" s="1">
        <v>39213.53</v>
      </c>
    </row>
    <row r="25" spans="1:3" ht="15.5">
      <c r="A25" s="1" t="s">
        <v>25</v>
      </c>
      <c r="B25" s="4">
        <f t="shared" si="0"/>
        <v>332.94333333333333</v>
      </c>
      <c r="C25" s="1">
        <v>3995.32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15402.865833333335</v>
      </c>
      <c r="C27" s="1">
        <v>184834.39</v>
      </c>
    </row>
    <row r="28" spans="1:3" ht="15.5">
      <c r="A28" s="2" t="s">
        <v>28</v>
      </c>
      <c r="B28" s="4">
        <f t="shared" si="0"/>
        <v>64134.480833333328</v>
      </c>
      <c r="C28" s="2">
        <f>SUM(C13:C27)</f>
        <v>769613.7699999999</v>
      </c>
    </row>
    <row r="29" spans="1:3" ht="26" customHeight="1">
      <c r="A29" s="2" t="s">
        <v>29</v>
      </c>
      <c r="B29" s="1"/>
      <c r="C29" s="2">
        <v>137128.73000000001</v>
      </c>
    </row>
    <row r="30" spans="1:3" ht="23.5" customHeight="1">
      <c r="A30" s="2" t="s">
        <v>30</v>
      </c>
      <c r="B30" s="1"/>
      <c r="C30" s="2"/>
    </row>
    <row r="31" spans="1:3" ht="41" customHeight="1">
      <c r="A31" s="3" t="s">
        <v>31</v>
      </c>
      <c r="B31" s="1"/>
      <c r="C31" s="1">
        <v>26067.48</v>
      </c>
    </row>
    <row r="32" spans="1:3" ht="62" hidden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111061.25</v>
      </c>
    </row>
    <row r="34" spans="1:3" ht="31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9"/>
    </sheetView>
  </sheetViews>
  <sheetFormatPr defaultRowHeight="14.5"/>
  <cols>
    <col min="1" max="1" width="45" customWidth="1"/>
    <col min="2" max="2" width="17" customWidth="1"/>
    <col min="3" max="3" width="17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88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-169899.64</v>
      </c>
    </row>
    <row r="9" spans="1:3" ht="46.5">
      <c r="A9" s="3" t="s">
        <v>9</v>
      </c>
      <c r="B9" s="4">
        <f>C9/12</f>
        <v>37285.082499999997</v>
      </c>
      <c r="C9" s="1">
        <v>447420.99</v>
      </c>
    </row>
    <row r="10" spans="1:3" ht="49.5" customHeight="1">
      <c r="A10" s="3" t="s">
        <v>10</v>
      </c>
      <c r="B10" s="4">
        <f t="shared" ref="B10:B28" si="0">C10/12</f>
        <v>1808.7916666666667</v>
      </c>
      <c r="C10" s="1">
        <f>12382+9323.5</f>
        <v>21705.5</v>
      </c>
    </row>
    <row r="11" spans="1:3" ht="15.5">
      <c r="A11" s="2" t="s">
        <v>11</v>
      </c>
      <c r="B11" s="4">
        <f t="shared" si="0"/>
        <v>39093.874166666668</v>
      </c>
      <c r="C11" s="2">
        <f>SUM(C9:C10)</f>
        <v>469126.49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10331.800833333333</v>
      </c>
      <c r="C13" s="1">
        <f>101467.53+22514.08</f>
        <v>123981.61</v>
      </c>
    </row>
    <row r="14" spans="1:3" ht="77.5">
      <c r="A14" s="3" t="s">
        <v>14</v>
      </c>
      <c r="B14" s="4">
        <f t="shared" si="0"/>
        <v>9061.4175000000014</v>
      </c>
      <c r="C14" s="1">
        <f>29665.94+79071.07</f>
        <v>108737.01000000001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1585.9166666666667</v>
      </c>
      <c r="C16" s="1">
        <v>19031</v>
      </c>
    </row>
    <row r="17" spans="1:3" ht="15.5">
      <c r="A17" s="1" t="s">
        <v>17</v>
      </c>
      <c r="B17" s="4">
        <f t="shared" si="0"/>
        <v>1507.25</v>
      </c>
      <c r="C17" s="1">
        <v>18087</v>
      </c>
    </row>
    <row r="18" spans="1:3" ht="15.5">
      <c r="A18" s="1" t="s">
        <v>18</v>
      </c>
      <c r="B18" s="4">
        <f t="shared" si="0"/>
        <v>401.41</v>
      </c>
      <c r="C18" s="1">
        <v>4816.92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812.87416666666661</v>
      </c>
      <c r="C20" s="1">
        <v>9754.49</v>
      </c>
    </row>
    <row r="21" spans="1:3" ht="15.5">
      <c r="A21" s="1" t="s">
        <v>21</v>
      </c>
      <c r="B21" s="4">
        <f t="shared" si="0"/>
        <v>994.81916666666666</v>
      </c>
      <c r="C21" s="1">
        <v>11937.83</v>
      </c>
    </row>
    <row r="22" spans="1:3" ht="15.5">
      <c r="A22" s="1" t="s">
        <v>22</v>
      </c>
      <c r="B22" s="4">
        <f t="shared" si="0"/>
        <v>3541.8349999999996</v>
      </c>
      <c r="C22" s="1">
        <v>42502.02</v>
      </c>
    </row>
    <row r="23" spans="1:3" ht="15.5">
      <c r="A23" s="1" t="s">
        <v>23</v>
      </c>
      <c r="B23" s="4">
        <f t="shared" si="0"/>
        <v>462.85583333333335</v>
      </c>
      <c r="C23" s="1">
        <v>5554.27</v>
      </c>
    </row>
    <row r="24" spans="1:3" ht="15.5">
      <c r="A24" s="1" t="s">
        <v>24</v>
      </c>
      <c r="B24" s="4">
        <f t="shared" si="0"/>
        <v>2026.3500000000001</v>
      </c>
      <c r="C24" s="1">
        <v>24316.2</v>
      </c>
    </row>
    <row r="25" spans="1:3" ht="15.5">
      <c r="A25" s="1" t="s">
        <v>25</v>
      </c>
      <c r="B25" s="4">
        <f t="shared" si="0"/>
        <v>227.55999999999997</v>
      </c>
      <c r="C25" s="1">
        <v>2730.72</v>
      </c>
    </row>
    <row r="26" spans="1:3" ht="15.5">
      <c r="A26" s="1" t="s">
        <v>26</v>
      </c>
      <c r="B26" s="4">
        <f t="shared" si="0"/>
        <v>237.5</v>
      </c>
      <c r="C26" s="1">
        <v>2850</v>
      </c>
    </row>
    <row r="27" spans="1:3" ht="15.5">
      <c r="A27" s="1" t="s">
        <v>27</v>
      </c>
      <c r="B27" s="4">
        <f t="shared" si="0"/>
        <v>8937.1758333333328</v>
      </c>
      <c r="C27" s="1">
        <v>107246.11</v>
      </c>
    </row>
    <row r="28" spans="1:3" ht="15.5">
      <c r="A28" s="2" t="s">
        <v>28</v>
      </c>
      <c r="B28" s="4">
        <f t="shared" si="0"/>
        <v>40128.764999999999</v>
      </c>
      <c r="C28" s="2">
        <f>SUM(C13:C27)</f>
        <v>481545.18</v>
      </c>
    </row>
    <row r="29" spans="1:3" ht="25" customHeight="1">
      <c r="A29" s="2" t="s">
        <v>29</v>
      </c>
      <c r="B29" s="1"/>
      <c r="C29" s="2"/>
    </row>
    <row r="30" spans="1:3" ht="31" customHeight="1">
      <c r="A30" s="2" t="s">
        <v>30</v>
      </c>
      <c r="B30" s="1"/>
      <c r="C30" s="2">
        <v>182318.33</v>
      </c>
    </row>
    <row r="31" spans="1:3" ht="30.5" customHeight="1">
      <c r="A31" s="3" t="s">
        <v>31</v>
      </c>
      <c r="B31" s="1"/>
      <c r="C31" s="1">
        <v>311811.73</v>
      </c>
    </row>
    <row r="32" spans="1:3" ht="10.5" hidden="1" customHeight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-494130.06</v>
      </c>
    </row>
    <row r="34" spans="1:3" ht="48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3.5" customHeight="1">
      <c r="A36" s="1" t="s">
        <v>64</v>
      </c>
      <c r="B36" s="1"/>
      <c r="C36" s="1"/>
    </row>
    <row r="37" spans="1:3" ht="1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.26953125" customWidth="1"/>
    <col min="2" max="2" width="17.36328125" customWidth="1"/>
    <col min="3" max="3" width="17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90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8317.5400000000009</v>
      </c>
    </row>
    <row r="9" spans="1:3" ht="46.5">
      <c r="A9" s="3" t="s">
        <v>9</v>
      </c>
      <c r="B9" s="4">
        <f>C9/12</f>
        <v>43827.915000000001</v>
      </c>
      <c r="C9" s="1">
        <v>525934.98</v>
      </c>
    </row>
    <row r="10" spans="1:3" ht="46.5">
      <c r="A10" s="3" t="s">
        <v>10</v>
      </c>
      <c r="B10" s="4">
        <f t="shared" ref="B10:B28" si="0">C10/12</f>
        <v>1056.7083333333333</v>
      </c>
      <c r="C10" s="1">
        <v>12680.5</v>
      </c>
    </row>
    <row r="11" spans="1:3" ht="15.5">
      <c r="A11" s="2" t="s">
        <v>11</v>
      </c>
      <c r="B11" s="4">
        <f t="shared" si="0"/>
        <v>44884.623333333329</v>
      </c>
      <c r="C11" s="2">
        <f>SUM(C9:C10)</f>
        <v>538615.48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10581.403333333334</v>
      </c>
      <c r="C13" s="1">
        <f>103940+23036.84</f>
        <v>126976.84</v>
      </c>
    </row>
    <row r="14" spans="1:3" ht="77.5">
      <c r="A14" s="3" t="s">
        <v>14</v>
      </c>
      <c r="B14" s="4">
        <f t="shared" si="0"/>
        <v>7577.9466666666667</v>
      </c>
      <c r="C14" s="1">
        <f>24490.62+66444.74</f>
        <v>90935.360000000001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3154.25</v>
      </c>
      <c r="C16" s="1">
        <v>37851</v>
      </c>
    </row>
    <row r="17" spans="1:3" ht="15.5">
      <c r="A17" s="1" t="s">
        <v>17</v>
      </c>
      <c r="B17" s="4">
        <f t="shared" si="0"/>
        <v>1534.99</v>
      </c>
      <c r="C17" s="1">
        <v>18419.88</v>
      </c>
    </row>
    <row r="18" spans="1:3" ht="15.5">
      <c r="A18" s="1" t="s">
        <v>18</v>
      </c>
      <c r="B18" s="4">
        <f t="shared" si="0"/>
        <v>530.02</v>
      </c>
      <c r="C18" s="1">
        <v>6360.24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889.76833333333332</v>
      </c>
      <c r="C20" s="1">
        <v>10677.22</v>
      </c>
    </row>
    <row r="21" spans="1:3" ht="15.5">
      <c r="A21" s="1" t="s">
        <v>21</v>
      </c>
      <c r="B21" s="4">
        <f t="shared" si="0"/>
        <v>1171.4833333333333</v>
      </c>
      <c r="C21" s="1">
        <v>14057.8</v>
      </c>
    </row>
    <row r="22" spans="1:3" ht="15.5">
      <c r="A22" s="1" t="s">
        <v>22</v>
      </c>
      <c r="B22" s="4">
        <f t="shared" si="0"/>
        <v>3605.7874999999999</v>
      </c>
      <c r="C22" s="1">
        <v>43269.45</v>
      </c>
    </row>
    <row r="23" spans="1:3" ht="15.5">
      <c r="A23" s="1" t="s">
        <v>23</v>
      </c>
      <c r="B23" s="4">
        <f t="shared" si="0"/>
        <v>384.51916666666665</v>
      </c>
      <c r="C23" s="1">
        <v>4614.2299999999996</v>
      </c>
    </row>
    <row r="24" spans="1:3" ht="15.5">
      <c r="A24" s="1" t="s">
        <v>24</v>
      </c>
      <c r="B24" s="4">
        <f t="shared" si="0"/>
        <v>2326.500833333333</v>
      </c>
      <c r="C24" s="1">
        <v>27918.01</v>
      </c>
    </row>
    <row r="25" spans="1:3" ht="15.5">
      <c r="A25" s="1" t="s">
        <v>25</v>
      </c>
      <c r="B25" s="4">
        <f t="shared" si="0"/>
        <v>246.3125</v>
      </c>
      <c r="C25" s="1">
        <v>2955.75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9098.5466666666671</v>
      </c>
      <c r="C27" s="1">
        <v>109182.56</v>
      </c>
    </row>
    <row r="28" spans="1:3" ht="15.5">
      <c r="A28" s="2" t="s">
        <v>28</v>
      </c>
      <c r="B28" s="4">
        <f t="shared" si="0"/>
        <v>41101.528333333328</v>
      </c>
      <c r="C28" s="2">
        <f>SUM(C13:C27)</f>
        <v>493218.33999999997</v>
      </c>
    </row>
    <row r="29" spans="1:3" ht="28" customHeight="1">
      <c r="A29" s="2" t="s">
        <v>29</v>
      </c>
      <c r="B29" s="1"/>
      <c r="C29" s="2">
        <v>53714.68</v>
      </c>
    </row>
    <row r="30" spans="1:3" ht="28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49312.19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4402.49</v>
      </c>
    </row>
    <row r="34" spans="1:3" ht="40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26" customHeight="1">
      <c r="A36" s="1" t="s">
        <v>64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3.6328125" customWidth="1"/>
    <col min="2" max="2" width="17.6328125" customWidth="1"/>
    <col min="3" max="3" width="14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91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-81230</v>
      </c>
    </row>
    <row r="9" spans="1:3" ht="46.5">
      <c r="A9" s="3" t="s">
        <v>9</v>
      </c>
      <c r="B9" s="4">
        <f>C9/12</f>
        <v>39790.008333333331</v>
      </c>
      <c r="C9" s="1">
        <v>477480.1</v>
      </c>
    </row>
    <row r="10" spans="1:3" ht="46.5">
      <c r="A10" s="3" t="s">
        <v>10</v>
      </c>
      <c r="B10" s="4">
        <f t="shared" ref="B10:B28" si="0">C10/12</f>
        <v>1678.125</v>
      </c>
      <c r="C10" s="1">
        <f>10814+9323.5</f>
        <v>20137.5</v>
      </c>
    </row>
    <row r="11" spans="1:3" ht="15.5">
      <c r="A11" s="2" t="s">
        <v>11</v>
      </c>
      <c r="B11" s="4">
        <f t="shared" si="0"/>
        <v>41468.133333333331</v>
      </c>
      <c r="C11" s="2">
        <f>SUM(C9:C10)</f>
        <v>497617.6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10725.2425</v>
      </c>
      <c r="C13" s="1">
        <f>105352.91+23350</f>
        <v>128702.91</v>
      </c>
    </row>
    <row r="14" spans="1:3" ht="77.5">
      <c r="A14" s="3" t="s">
        <v>14</v>
      </c>
      <c r="B14" s="4">
        <f t="shared" si="0"/>
        <v>9814.0066666666662</v>
      </c>
      <c r="C14" s="1">
        <f>32972.22+84795.86</f>
        <v>117768.08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2941.3333333333335</v>
      </c>
      <c r="C16" s="1">
        <v>35296</v>
      </c>
    </row>
    <row r="17" spans="1:3" ht="15.5">
      <c r="A17" s="1" t="s">
        <v>17</v>
      </c>
      <c r="B17" s="4">
        <f t="shared" si="0"/>
        <v>1518.86</v>
      </c>
      <c r="C17" s="1">
        <v>18226.32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823.85916666666662</v>
      </c>
      <c r="C20" s="1">
        <v>9886.31</v>
      </c>
    </row>
    <row r="21" spans="1:3" ht="15.5">
      <c r="A21" s="1" t="s">
        <v>21</v>
      </c>
      <c r="B21" s="4">
        <f t="shared" si="0"/>
        <v>1058.3608333333334</v>
      </c>
      <c r="C21" s="1">
        <v>12700.33</v>
      </c>
    </row>
    <row r="22" spans="1:3" ht="15.5">
      <c r="A22" s="1" t="s">
        <v>22</v>
      </c>
      <c r="B22" s="4">
        <f t="shared" si="0"/>
        <v>3569.0174999999999</v>
      </c>
      <c r="C22" s="1">
        <v>42828.21</v>
      </c>
    </row>
    <row r="23" spans="1:3" ht="15.5">
      <c r="A23" s="1" t="s">
        <v>23</v>
      </c>
      <c r="B23" s="4">
        <f t="shared" si="0"/>
        <v>530.94833333333338</v>
      </c>
      <c r="C23" s="1">
        <v>6371.38</v>
      </c>
    </row>
    <row r="24" spans="1:3" ht="15.5">
      <c r="A24" s="1" t="s">
        <v>24</v>
      </c>
      <c r="B24" s="4">
        <f t="shared" si="0"/>
        <v>2149.4133333333334</v>
      </c>
      <c r="C24" s="1">
        <v>25792.959999999999</v>
      </c>
    </row>
    <row r="25" spans="1:3" ht="15.5">
      <c r="A25" s="1" t="s">
        <v>25</v>
      </c>
      <c r="B25" s="4">
        <f t="shared" si="0"/>
        <v>246.52333333333334</v>
      </c>
      <c r="C25" s="1">
        <v>2958.28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9005.7649999999994</v>
      </c>
      <c r="C27" s="1">
        <v>108069.18</v>
      </c>
    </row>
    <row r="28" spans="1:3" ht="15.5">
      <c r="A28" s="2" t="s">
        <v>28</v>
      </c>
      <c r="B28" s="4">
        <f t="shared" si="0"/>
        <v>42383.330000000009</v>
      </c>
      <c r="C28" s="2">
        <f>SUM(C13:C27)</f>
        <v>508599.96000000008</v>
      </c>
    </row>
    <row r="29" spans="1:3" ht="24.5" customHeight="1">
      <c r="A29" s="2" t="s">
        <v>29</v>
      </c>
      <c r="B29" s="1"/>
      <c r="C29" s="2"/>
    </row>
    <row r="30" spans="1:3" ht="28.5" customHeight="1">
      <c r="A30" s="2" t="s">
        <v>30</v>
      </c>
      <c r="B30" s="1"/>
      <c r="C30" s="2">
        <v>92212.36</v>
      </c>
    </row>
    <row r="31" spans="1:3" ht="30.5" customHeight="1">
      <c r="A31" s="3" t="s">
        <v>31</v>
      </c>
      <c r="B31" s="1"/>
      <c r="C31" s="1">
        <v>124570.82</v>
      </c>
    </row>
    <row r="32" spans="1:3" ht="62" hidden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-216783.18</v>
      </c>
    </row>
    <row r="34" spans="1:3" ht="31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9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3.6328125" customWidth="1"/>
    <col min="2" max="2" width="17.26953125" customWidth="1"/>
    <col min="3" max="3" width="14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92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144411.97</v>
      </c>
    </row>
    <row r="9" spans="1:3" ht="46.5">
      <c r="A9" s="3" t="s">
        <v>9</v>
      </c>
      <c r="B9" s="5">
        <f>C9/12</f>
        <v>128965.20583333333</v>
      </c>
      <c r="C9" s="1">
        <v>1547582.47</v>
      </c>
    </row>
    <row r="10" spans="1:3" ht="46.5">
      <c r="A10" s="3" t="s">
        <v>10</v>
      </c>
      <c r="B10" s="5">
        <f t="shared" ref="B10:B28" si="0">C10/12</f>
        <v>4202.166666666667</v>
      </c>
      <c r="C10" s="1">
        <v>50426</v>
      </c>
    </row>
    <row r="11" spans="1:3" ht="15.5">
      <c r="A11" s="2" t="s">
        <v>11</v>
      </c>
      <c r="B11" s="5">
        <f t="shared" si="0"/>
        <v>133167.3725</v>
      </c>
      <c r="C11" s="2">
        <f>SUM(C9:C10)</f>
        <v>1598008.47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26421.558333333334</v>
      </c>
      <c r="C13" s="1">
        <f>259536.16+57522.54</f>
        <v>317058.7</v>
      </c>
    </row>
    <row r="14" spans="1:3" ht="77.5">
      <c r="A14" s="3" t="s">
        <v>14</v>
      </c>
      <c r="B14" s="5">
        <f t="shared" si="0"/>
        <v>12593.92</v>
      </c>
      <c r="C14" s="1">
        <f>90933.36+60193.68</f>
        <v>151127.04000000001</v>
      </c>
    </row>
    <row r="15" spans="1:3" ht="62">
      <c r="A15" s="3" t="s">
        <v>15</v>
      </c>
      <c r="B15" s="5">
        <f t="shared" si="0"/>
        <v>10958.160000000002</v>
      </c>
      <c r="C15" s="1">
        <v>131497.92000000001</v>
      </c>
    </row>
    <row r="16" spans="1:3" ht="15.5">
      <c r="A16" s="1" t="s">
        <v>16</v>
      </c>
      <c r="B16" s="5">
        <f t="shared" si="0"/>
        <v>1555.1666666666667</v>
      </c>
      <c r="C16" s="1">
        <v>18662</v>
      </c>
    </row>
    <row r="17" spans="1:3" ht="15.5">
      <c r="A17" s="1" t="s">
        <v>17</v>
      </c>
      <c r="B17" s="5">
        <f t="shared" si="0"/>
        <v>3695.33</v>
      </c>
      <c r="C17" s="1">
        <v>44343.96</v>
      </c>
    </row>
    <row r="18" spans="1:3" ht="15.5">
      <c r="A18" s="1" t="s">
        <v>18</v>
      </c>
      <c r="B18" s="5">
        <f t="shared" si="0"/>
        <v>237.22</v>
      </c>
      <c r="C18" s="1">
        <v>2846.64</v>
      </c>
    </row>
    <row r="19" spans="1:3" ht="15.5">
      <c r="A19" s="1" t="s">
        <v>19</v>
      </c>
      <c r="B19" s="5">
        <f t="shared" si="0"/>
        <v>18137.459166666667</v>
      </c>
      <c r="C19" s="1">
        <v>217649.51</v>
      </c>
    </row>
    <row r="20" spans="1:3" ht="15.5">
      <c r="A20" s="1" t="s">
        <v>20</v>
      </c>
      <c r="B20" s="5">
        <f t="shared" si="0"/>
        <v>1581.8100000000002</v>
      </c>
      <c r="C20" s="1">
        <v>18981.72</v>
      </c>
    </row>
    <row r="21" spans="1:3" ht="15.5">
      <c r="A21" s="1" t="s">
        <v>21</v>
      </c>
      <c r="B21" s="5">
        <f t="shared" si="0"/>
        <v>3529.1208333333329</v>
      </c>
      <c r="C21" s="1">
        <v>42349.45</v>
      </c>
    </row>
    <row r="22" spans="1:3" ht="15.5">
      <c r="A22" s="1" t="s">
        <v>22</v>
      </c>
      <c r="B22" s="5">
        <f t="shared" si="0"/>
        <v>8687.3208333333332</v>
      </c>
      <c r="C22" s="1">
        <v>104247.85</v>
      </c>
    </row>
    <row r="23" spans="1:3" ht="15.5">
      <c r="A23" s="1" t="s">
        <v>23</v>
      </c>
      <c r="B23" s="5">
        <f t="shared" si="0"/>
        <v>0</v>
      </c>
      <c r="C23" s="1"/>
    </row>
    <row r="24" spans="1:3" ht="15.5">
      <c r="A24" s="1" t="s">
        <v>24</v>
      </c>
      <c r="B24" s="5">
        <f t="shared" si="0"/>
        <v>7032.0341666666673</v>
      </c>
      <c r="C24" s="1">
        <v>84384.41</v>
      </c>
    </row>
    <row r="25" spans="1:3" ht="15.5">
      <c r="A25" s="1" t="s">
        <v>25</v>
      </c>
      <c r="B25" s="5">
        <f t="shared" si="0"/>
        <v>306.70499999999998</v>
      </c>
      <c r="C25" s="1">
        <v>3680.46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21920.869166666667</v>
      </c>
      <c r="C27" s="1">
        <v>263050.43</v>
      </c>
    </row>
    <row r="28" spans="1:3" ht="15.5">
      <c r="A28" s="2" t="s">
        <v>28</v>
      </c>
      <c r="B28" s="5">
        <f t="shared" si="0"/>
        <v>116656.67416666665</v>
      </c>
      <c r="C28" s="2">
        <f>SUM(C13:C27)</f>
        <v>1399880.0899999999</v>
      </c>
    </row>
    <row r="29" spans="1:3" ht="25" customHeight="1">
      <c r="A29" s="2" t="s">
        <v>29</v>
      </c>
      <c r="B29" s="1"/>
      <c r="C29" s="2">
        <v>342540.35</v>
      </c>
    </row>
    <row r="30" spans="1:3" ht="26" customHeight="1">
      <c r="A30" s="2" t="s">
        <v>30</v>
      </c>
      <c r="B30" s="1"/>
      <c r="C30" s="2"/>
    </row>
    <row r="31" spans="1:3" ht="29.5" customHeight="1">
      <c r="A31" s="3" t="s">
        <v>31</v>
      </c>
      <c r="B31" s="1"/>
      <c r="C31" s="1">
        <v>324507.09999999998</v>
      </c>
    </row>
    <row r="32" spans="1:3" ht="13.5" hidden="1" customHeight="1">
      <c r="A32" s="3" t="s">
        <v>32</v>
      </c>
      <c r="B32" s="1"/>
      <c r="C32" s="1"/>
    </row>
    <row r="33" spans="1:3" ht="43.5" customHeight="1">
      <c r="A33" s="2" t="s">
        <v>33</v>
      </c>
      <c r="B33" s="2"/>
      <c r="C33" s="2">
        <v>18033.25</v>
      </c>
    </row>
    <row r="34" spans="1:3" ht="37.5" customHeight="1">
      <c r="A34" s="1" t="s">
        <v>34</v>
      </c>
      <c r="B34" s="1"/>
      <c r="C34" s="1"/>
    </row>
    <row r="35" spans="1:3" ht="38.5" customHeight="1">
      <c r="A35" s="1" t="s">
        <v>35</v>
      </c>
      <c r="B35" s="1"/>
      <c r="C35" s="1"/>
    </row>
    <row r="36" spans="1:3" ht="36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7" sqref="C37"/>
    </sheetView>
  </sheetViews>
  <sheetFormatPr defaultRowHeight="14.5"/>
  <cols>
    <col min="1" max="1" width="41.08984375" customWidth="1"/>
    <col min="2" max="2" width="15.26953125" customWidth="1"/>
    <col min="3" max="3" width="15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42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86017.66</v>
      </c>
    </row>
    <row r="9" spans="1:3" ht="47.5" customHeight="1">
      <c r="A9" s="3" t="s">
        <v>9</v>
      </c>
      <c r="B9" s="4">
        <f>C9/12</f>
        <v>41747.373333333329</v>
      </c>
      <c r="C9" s="1">
        <v>500968.48</v>
      </c>
    </row>
    <row r="10" spans="1:3" ht="52.5" customHeight="1">
      <c r="A10" s="3" t="s">
        <v>10</v>
      </c>
      <c r="B10" s="4">
        <f t="shared" ref="B10:B28" si="0">C10/12</f>
        <v>1939.2916666666667</v>
      </c>
      <c r="C10" s="1">
        <v>23271.5</v>
      </c>
    </row>
    <row r="11" spans="1:3" ht="15.5">
      <c r="A11" s="2" t="s">
        <v>11</v>
      </c>
      <c r="B11" s="4">
        <f t="shared" si="0"/>
        <v>43686.665000000001</v>
      </c>
      <c r="C11" s="2">
        <f>SUM(C9:C10)</f>
        <v>524239.98</v>
      </c>
    </row>
    <row r="12" spans="1:3" ht="15.5">
      <c r="A12" s="2" t="s">
        <v>12</v>
      </c>
      <c r="B12" s="4">
        <f t="shared" si="0"/>
        <v>0</v>
      </c>
      <c r="C12" s="1"/>
    </row>
    <row r="13" spans="1:3" ht="45.5" customHeight="1">
      <c r="A13" s="3" t="s">
        <v>13</v>
      </c>
      <c r="B13" s="4">
        <f t="shared" si="0"/>
        <v>10482.550833333333</v>
      </c>
      <c r="C13" s="1">
        <f>102948.03+22842.58</f>
        <v>125790.61</v>
      </c>
    </row>
    <row r="14" spans="1:3" ht="58.5" customHeight="1">
      <c r="A14" s="3" t="s">
        <v>14</v>
      </c>
      <c r="B14" s="4">
        <f t="shared" si="0"/>
        <v>6797.626666666667</v>
      </c>
      <c r="C14" s="1">
        <f>23344.8+58226.72</f>
        <v>81571.520000000004</v>
      </c>
    </row>
    <row r="15" spans="1:3" ht="64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1575.8033333333333</v>
      </c>
      <c r="C16" s="1">
        <v>18909.64</v>
      </c>
    </row>
    <row r="17" spans="1:3" ht="15.5">
      <c r="A17" s="1" t="s">
        <v>17</v>
      </c>
      <c r="B17" s="4">
        <f t="shared" si="0"/>
        <v>1538.78</v>
      </c>
      <c r="C17" s="1">
        <v>18465.36</v>
      </c>
    </row>
    <row r="18" spans="1:3" ht="15.5">
      <c r="A18" s="1" t="s">
        <v>18</v>
      </c>
      <c r="B18" s="4">
        <f t="shared" si="0"/>
        <v>303.89</v>
      </c>
      <c r="C18" s="1">
        <v>3646.68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878.7833333333333</v>
      </c>
      <c r="C20" s="1">
        <v>10545.4</v>
      </c>
    </row>
    <row r="21" spans="1:3" ht="15.5">
      <c r="A21" s="1" t="s">
        <v>21</v>
      </c>
      <c r="B21" s="4">
        <f t="shared" si="0"/>
        <v>1157.595</v>
      </c>
      <c r="C21" s="1">
        <v>13891.14</v>
      </c>
    </row>
    <row r="22" spans="1:3" ht="15.5">
      <c r="A22" s="1" t="s">
        <v>22</v>
      </c>
      <c r="B22" s="4">
        <f t="shared" si="0"/>
        <v>3614.5849999999996</v>
      </c>
      <c r="C22" s="1">
        <v>43375.02</v>
      </c>
    </row>
    <row r="23" spans="1:3" ht="15.5">
      <c r="A23" s="1" t="s">
        <v>23</v>
      </c>
      <c r="B23" s="4">
        <f t="shared" si="0"/>
        <v>521.63333333333333</v>
      </c>
      <c r="C23" s="1">
        <v>6259.6</v>
      </c>
    </row>
    <row r="24" spans="1:3" ht="15.5">
      <c r="A24" s="1" t="s">
        <v>24</v>
      </c>
      <c r="B24" s="4">
        <f t="shared" si="0"/>
        <v>2264.4066666666668</v>
      </c>
      <c r="C24" s="1">
        <v>27172.880000000001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14370.745833333334</v>
      </c>
      <c r="C27" s="1">
        <v>172448.95</v>
      </c>
    </row>
    <row r="28" spans="1:3" ht="21.5" customHeight="1">
      <c r="A28" s="2" t="s">
        <v>28</v>
      </c>
      <c r="B28" s="4">
        <f t="shared" si="0"/>
        <v>43506.400000000001</v>
      </c>
      <c r="C28" s="2">
        <f>SUM(C13:C27)</f>
        <v>522076.8</v>
      </c>
    </row>
    <row r="29" spans="1:3" ht="27" customHeight="1">
      <c r="A29" s="2" t="s">
        <v>29</v>
      </c>
      <c r="B29" s="1"/>
      <c r="C29" s="2">
        <v>88180.84</v>
      </c>
    </row>
    <row r="30" spans="1:3" ht="37.5" customHeight="1">
      <c r="A30" s="2" t="s">
        <v>30</v>
      </c>
      <c r="B30" s="1"/>
      <c r="C30" s="2"/>
    </row>
    <row r="31" spans="1:3" ht="43.5" customHeight="1">
      <c r="A31" s="3" t="s">
        <v>31</v>
      </c>
      <c r="B31" s="1"/>
      <c r="C31" s="1">
        <v>70420.44</v>
      </c>
    </row>
    <row r="32" spans="1:3" ht="20" hidden="1" customHeight="1">
      <c r="A32" s="3" t="s">
        <v>32</v>
      </c>
      <c r="B32" s="1"/>
      <c r="C32" s="1"/>
    </row>
    <row r="33" spans="1:3" ht="24.5" customHeight="1">
      <c r="A33" s="2" t="s">
        <v>33</v>
      </c>
      <c r="B33" s="2"/>
      <c r="C33" s="2">
        <v>17760.400000000001</v>
      </c>
    </row>
    <row r="34" spans="1:3" ht="51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9.5" customHeight="1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.08984375" customWidth="1"/>
    <col min="2" max="2" width="16.81640625" customWidth="1"/>
    <col min="3" max="3" width="14" customWidth="1"/>
  </cols>
  <sheetData>
    <row r="1" spans="1:3" ht="15.5">
      <c r="A1" s="1" t="s">
        <v>0</v>
      </c>
      <c r="B1" s="1"/>
      <c r="C1" s="1"/>
    </row>
    <row r="2" spans="1:3" ht="15.5">
      <c r="A2" s="1" t="s">
        <v>93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-72911.78</v>
      </c>
    </row>
    <row r="9" spans="1:3" ht="46.5">
      <c r="A9" s="3" t="s">
        <v>9</v>
      </c>
      <c r="B9" s="5">
        <f>C9/12</f>
        <v>39193.719166666669</v>
      </c>
      <c r="C9" s="1">
        <v>470324.63</v>
      </c>
    </row>
    <row r="10" spans="1:3" ht="46.5">
      <c r="A10" s="3" t="s">
        <v>10</v>
      </c>
      <c r="B10" s="5">
        <f t="shared" ref="B10:B28" si="0">C10/12</f>
        <v>2483.8166666666666</v>
      </c>
      <c r="C10" s="1">
        <f>17125.3+12680.5</f>
        <v>29805.8</v>
      </c>
    </row>
    <row r="11" spans="1:3" ht="15.5">
      <c r="A11" s="2" t="s">
        <v>11</v>
      </c>
      <c r="B11" s="5">
        <f t="shared" si="0"/>
        <v>41677.535833333335</v>
      </c>
      <c r="C11" s="2">
        <f>SUM(C9:C10)</f>
        <v>500130.43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10731.722500000002</v>
      </c>
      <c r="C13" s="1">
        <f>105416.57+23364.1</f>
        <v>128780.67000000001</v>
      </c>
    </row>
    <row r="14" spans="1:3" ht="77.5">
      <c r="A14" s="3" t="s">
        <v>14</v>
      </c>
      <c r="B14" s="5">
        <f t="shared" si="0"/>
        <v>13491.356666666667</v>
      </c>
      <c r="C14" s="1">
        <f>34180.86+127715.42</f>
        <v>161896.28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3254.0833333333335</v>
      </c>
      <c r="C16" s="1">
        <v>39049</v>
      </c>
    </row>
    <row r="17" spans="1:3" ht="15.5">
      <c r="A17" s="1" t="s">
        <v>17</v>
      </c>
      <c r="B17" s="5">
        <f t="shared" si="0"/>
        <v>1514.0200000000002</v>
      </c>
      <c r="C17" s="1">
        <v>18168.240000000002</v>
      </c>
    </row>
    <row r="18" spans="1:3" ht="15.5">
      <c r="A18" s="1" t="s">
        <v>18</v>
      </c>
      <c r="B18" s="5">
        <f t="shared" si="0"/>
        <v>0</v>
      </c>
      <c r="C18" s="1"/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834.84416666666664</v>
      </c>
      <c r="C20" s="1">
        <v>10018.129999999999</v>
      </c>
    </row>
    <row r="21" spans="1:3" ht="15.5">
      <c r="A21" s="1" t="s">
        <v>21</v>
      </c>
      <c r="B21" s="5">
        <f t="shared" si="0"/>
        <v>1078.0533333333333</v>
      </c>
      <c r="C21" s="1">
        <v>12936.64</v>
      </c>
    </row>
    <row r="22" spans="1:3" ht="15.5">
      <c r="A22" s="1" t="s">
        <v>22</v>
      </c>
      <c r="B22" s="5">
        <f t="shared" si="0"/>
        <v>3558.19</v>
      </c>
      <c r="C22" s="1">
        <v>42698.28</v>
      </c>
    </row>
    <row r="23" spans="1:3" ht="15.5">
      <c r="A23" s="1" t="s">
        <v>23</v>
      </c>
      <c r="B23" s="5">
        <f t="shared" si="0"/>
        <v>466.98250000000002</v>
      </c>
      <c r="C23" s="1">
        <v>5603.79</v>
      </c>
    </row>
    <row r="24" spans="1:3" ht="15.5">
      <c r="A24" s="1" t="s">
        <v>24</v>
      </c>
      <c r="B24" s="5">
        <f t="shared" si="0"/>
        <v>2160.2683333333334</v>
      </c>
      <c r="C24" s="1">
        <v>25923.22</v>
      </c>
    </row>
    <row r="25" spans="1:3" ht="15.5">
      <c r="A25" s="1" t="s">
        <v>25</v>
      </c>
      <c r="B25" s="5">
        <f t="shared" si="0"/>
        <v>248.20333333333335</v>
      </c>
      <c r="C25" s="1">
        <v>2978.44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8978.4433333333345</v>
      </c>
      <c r="C27" s="1">
        <v>107741.32</v>
      </c>
    </row>
    <row r="28" spans="1:3" ht="21" customHeight="1">
      <c r="A28" s="2" t="s">
        <v>28</v>
      </c>
      <c r="B28" s="5">
        <f t="shared" si="0"/>
        <v>46316.167500000003</v>
      </c>
      <c r="C28" s="2">
        <f>SUM(C13:C27)</f>
        <v>555794.01</v>
      </c>
    </row>
    <row r="29" spans="1:3" ht="29.5" customHeight="1">
      <c r="A29" s="2" t="s">
        <v>29</v>
      </c>
      <c r="B29" s="1"/>
      <c r="C29" s="2"/>
    </row>
    <row r="30" spans="1:3" ht="29.5" customHeight="1">
      <c r="A30" s="2" t="s">
        <v>30</v>
      </c>
      <c r="B30" s="1"/>
      <c r="C30" s="2">
        <v>128575.36</v>
      </c>
    </row>
    <row r="31" spans="1:3" ht="41" customHeight="1">
      <c r="A31" s="3" t="s">
        <v>31</v>
      </c>
      <c r="B31" s="1"/>
      <c r="C31" s="1">
        <v>168587.49</v>
      </c>
    </row>
    <row r="32" spans="1:3" ht="0.5" customHeight="1">
      <c r="A32" s="3" t="s">
        <v>32</v>
      </c>
      <c r="B32" s="1"/>
      <c r="C32" s="1"/>
    </row>
    <row r="33" spans="1:3" ht="33.5" customHeight="1">
      <c r="A33" s="2" t="s">
        <v>33</v>
      </c>
      <c r="B33" s="2"/>
      <c r="C33" s="2">
        <v>-297162.84999999998</v>
      </c>
    </row>
    <row r="34" spans="1:3" ht="44.5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3" customHeight="1">
      <c r="A36" s="1" t="s">
        <v>64</v>
      </c>
      <c r="B36" s="1"/>
      <c r="C36" s="1"/>
    </row>
    <row r="37" spans="1:3" ht="25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4" sqref="C34"/>
    </sheetView>
  </sheetViews>
  <sheetFormatPr defaultRowHeight="14.5"/>
  <cols>
    <col min="1" max="1" width="50.7265625" customWidth="1"/>
    <col min="2" max="2" width="16" customWidth="1"/>
    <col min="3" max="3" width="12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94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-29759.68</v>
      </c>
    </row>
    <row r="9" spans="1:3" ht="33" customHeight="1">
      <c r="A9" s="3" t="s">
        <v>9</v>
      </c>
      <c r="B9" s="5">
        <f>C9/12</f>
        <v>41533.302499999998</v>
      </c>
      <c r="C9" s="1">
        <v>498399.63</v>
      </c>
    </row>
    <row r="10" spans="1:3" ht="53.5" customHeight="1">
      <c r="A10" s="3" t="s">
        <v>10</v>
      </c>
      <c r="B10" s="5">
        <f t="shared" ref="B10:B28" si="0">C10/12</f>
        <v>1056.7083333333333</v>
      </c>
      <c r="C10" s="1">
        <v>12680.5</v>
      </c>
    </row>
    <row r="11" spans="1:3" ht="18.5" customHeight="1">
      <c r="A11" s="2" t="s">
        <v>11</v>
      </c>
      <c r="B11" s="5">
        <f t="shared" si="0"/>
        <v>42590.010833333334</v>
      </c>
      <c r="C11" s="2">
        <f>SUM(C9:C10)</f>
        <v>511080.13</v>
      </c>
    </row>
    <row r="12" spans="1:3" ht="15.5">
      <c r="A12" s="2" t="s">
        <v>12</v>
      </c>
      <c r="B12" s="5">
        <f t="shared" si="0"/>
        <v>0</v>
      </c>
      <c r="C12" s="1"/>
    </row>
    <row r="13" spans="1:3" ht="65.5" customHeight="1">
      <c r="A13" s="3" t="s">
        <v>13</v>
      </c>
      <c r="B13" s="5">
        <f t="shared" si="0"/>
        <v>10672.769166666667</v>
      </c>
      <c r="C13" s="1">
        <f>104837.47+23235.76</f>
        <v>128073.23</v>
      </c>
    </row>
    <row r="14" spans="1:3" ht="67" customHeight="1">
      <c r="A14" s="3" t="s">
        <v>14</v>
      </c>
      <c r="B14" s="5">
        <f t="shared" si="0"/>
        <v>11345.881666666666</v>
      </c>
      <c r="C14" s="1">
        <f>28211.96+107938.62</f>
        <v>136150.57999999999</v>
      </c>
    </row>
    <row r="15" spans="1:3" ht="57.5" customHeight="1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2642.75</v>
      </c>
      <c r="C16" s="1">
        <v>31713</v>
      </c>
    </row>
    <row r="17" spans="1:3" ht="15.5">
      <c r="A17" s="1" t="s">
        <v>17</v>
      </c>
      <c r="B17" s="5">
        <f t="shared" si="0"/>
        <v>1533.55</v>
      </c>
      <c r="C17" s="1">
        <v>18402.599999999999</v>
      </c>
    </row>
    <row r="18" spans="1:3" ht="15.5">
      <c r="A18" s="1" t="s">
        <v>18</v>
      </c>
      <c r="B18" s="5">
        <f t="shared" si="0"/>
        <v>148.39000000000001</v>
      </c>
      <c r="C18" s="1">
        <v>1780.68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878.7833333333333</v>
      </c>
      <c r="C20" s="1">
        <v>10545.4</v>
      </c>
    </row>
    <row r="21" spans="1:3" ht="15.5">
      <c r="A21" s="1" t="s">
        <v>21</v>
      </c>
      <c r="B21" s="5">
        <f t="shared" si="0"/>
        <v>1118.2850000000001</v>
      </c>
      <c r="C21" s="1">
        <v>13419.42</v>
      </c>
    </row>
    <row r="22" spans="1:3" ht="15.5">
      <c r="A22" s="1" t="s">
        <v>22</v>
      </c>
      <c r="B22" s="5">
        <f t="shared" si="0"/>
        <v>3596.3133333333335</v>
      </c>
      <c r="C22" s="1">
        <v>43155.76</v>
      </c>
    </row>
    <row r="23" spans="1:3" ht="15.5">
      <c r="A23" s="1" t="s">
        <v>23</v>
      </c>
      <c r="B23" s="5">
        <f t="shared" si="0"/>
        <v>504.09666666666664</v>
      </c>
      <c r="C23" s="1">
        <v>6049.16</v>
      </c>
    </row>
    <row r="24" spans="1:3" ht="15.5">
      <c r="A24" s="1" t="s">
        <v>24</v>
      </c>
      <c r="B24" s="5">
        <f t="shared" si="0"/>
        <v>2207.5641666666666</v>
      </c>
      <c r="C24" s="1">
        <v>26490.77</v>
      </c>
    </row>
    <row r="25" spans="1:3" ht="15.5">
      <c r="A25" s="1" t="s">
        <v>25</v>
      </c>
      <c r="B25" s="5">
        <f t="shared" si="0"/>
        <v>246.75583333333336</v>
      </c>
      <c r="C25" s="1">
        <v>2961.07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9074.64</v>
      </c>
      <c r="C27" s="1">
        <v>108895.67999999999</v>
      </c>
    </row>
    <row r="28" spans="1:3" ht="15.5">
      <c r="A28" s="2" t="s">
        <v>28</v>
      </c>
      <c r="B28" s="5">
        <f t="shared" si="0"/>
        <v>43969.779166666667</v>
      </c>
      <c r="C28" s="2">
        <f>SUM(C13:C27)</f>
        <v>527637.35</v>
      </c>
    </row>
    <row r="29" spans="1:3" ht="26.5" customHeight="1">
      <c r="A29" s="2" t="s">
        <v>29</v>
      </c>
      <c r="B29" s="1"/>
      <c r="C29" s="2"/>
    </row>
    <row r="30" spans="1:3" ht="33" customHeight="1">
      <c r="A30" s="2" t="s">
        <v>30</v>
      </c>
      <c r="B30" s="1"/>
      <c r="C30" s="2">
        <v>46316.9</v>
      </c>
    </row>
    <row r="31" spans="1:3" ht="47" customHeight="1">
      <c r="A31" s="3" t="s">
        <v>31</v>
      </c>
      <c r="B31" s="1"/>
      <c r="C31" s="1">
        <v>157756.53</v>
      </c>
    </row>
    <row r="32" spans="1:3" ht="1.5" customHeight="1">
      <c r="A32" s="3" t="s">
        <v>32</v>
      </c>
      <c r="B32" s="1"/>
      <c r="C32" s="1"/>
    </row>
    <row r="33" spans="1:3" ht="29.5" customHeight="1">
      <c r="A33" s="2" t="s">
        <v>33</v>
      </c>
      <c r="B33" s="2"/>
      <c r="C33" s="2">
        <v>-204073.43</v>
      </c>
    </row>
    <row r="34" spans="1:3" ht="4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sqref="A1:C38"/>
    </sheetView>
  </sheetViews>
  <sheetFormatPr defaultRowHeight="14.5"/>
  <cols>
    <col min="1" max="1" width="47.1796875" customWidth="1"/>
    <col min="2" max="2" width="16.1796875" customWidth="1"/>
    <col min="3" max="3" width="16.54296875" customWidth="1"/>
  </cols>
  <sheetData>
    <row r="1" spans="1:7" ht="15.5">
      <c r="A1" s="1" t="s">
        <v>0</v>
      </c>
      <c r="B1" s="1"/>
      <c r="C1" s="1"/>
    </row>
    <row r="2" spans="1:7" ht="15.5">
      <c r="A2" s="1" t="s">
        <v>95</v>
      </c>
      <c r="B2" s="1" t="s">
        <v>89</v>
      </c>
      <c r="C2" s="1"/>
    </row>
    <row r="3" spans="1:7" ht="15.5">
      <c r="A3" s="1" t="s">
        <v>3</v>
      </c>
      <c r="B3" s="1"/>
      <c r="C3" s="1"/>
    </row>
    <row r="4" spans="1:7" ht="15.5">
      <c r="A4" s="1" t="s">
        <v>4</v>
      </c>
      <c r="B4" s="1"/>
      <c r="C4" s="1"/>
    </row>
    <row r="5" spans="1:7" ht="15.5">
      <c r="A5" s="1" t="s">
        <v>37</v>
      </c>
      <c r="B5" s="1"/>
      <c r="C5" s="1"/>
    </row>
    <row r="6" spans="1:7" ht="15.5">
      <c r="A6" s="1"/>
      <c r="B6" s="1"/>
      <c r="C6" s="1"/>
    </row>
    <row r="7" spans="1:7" ht="15.5">
      <c r="A7" s="1" t="s">
        <v>5</v>
      </c>
      <c r="B7" s="1" t="s">
        <v>6</v>
      </c>
      <c r="C7" s="1" t="s">
        <v>7</v>
      </c>
    </row>
    <row r="8" spans="1:7" ht="15.5">
      <c r="A8" s="2" t="s">
        <v>8</v>
      </c>
      <c r="B8" s="1"/>
      <c r="C8" s="2">
        <v>-53400.62</v>
      </c>
    </row>
    <row r="9" spans="1:7" ht="29.5" customHeight="1">
      <c r="A9" s="3" t="s">
        <v>9</v>
      </c>
      <c r="B9" s="5">
        <f>C9/12</f>
        <v>38854.10833333333</v>
      </c>
      <c r="C9" s="1">
        <v>466249.3</v>
      </c>
    </row>
    <row r="10" spans="1:7" ht="46.5">
      <c r="A10" s="3" t="s">
        <v>10</v>
      </c>
      <c r="B10" s="5">
        <f t="shared" ref="B10:B28" si="0">C10/12</f>
        <v>3022.5083333333332</v>
      </c>
      <c r="C10" s="1">
        <f>26946.6+9323.5</f>
        <v>36270.1</v>
      </c>
      <c r="E10" s="1"/>
      <c r="F10" s="1"/>
      <c r="G10" s="1"/>
    </row>
    <row r="11" spans="1:7" ht="15.5">
      <c r="A11" s="2" t="s">
        <v>11</v>
      </c>
      <c r="B11" s="5">
        <f t="shared" si="0"/>
        <v>41876.616666666661</v>
      </c>
      <c r="C11" s="2">
        <f>SUM(C9:C10)</f>
        <v>502519.39999999997</v>
      </c>
      <c r="E11" s="1"/>
      <c r="F11" s="1"/>
      <c r="G11" s="1"/>
    </row>
    <row r="12" spans="1:7" ht="15.5">
      <c r="A12" s="2" t="s">
        <v>12</v>
      </c>
      <c r="B12" s="5">
        <f t="shared" si="0"/>
        <v>0</v>
      </c>
      <c r="C12" s="1"/>
      <c r="E12" s="1"/>
      <c r="F12" s="1"/>
      <c r="G12" s="1"/>
    </row>
    <row r="13" spans="1:7" ht="77.5">
      <c r="A13" s="3" t="s">
        <v>13</v>
      </c>
      <c r="B13" s="5">
        <f t="shared" si="0"/>
        <v>10683.570833333333</v>
      </c>
      <c r="C13" s="1">
        <f>104943.59+23259.26</f>
        <v>128202.84999999999</v>
      </c>
      <c r="E13" s="1"/>
      <c r="F13" s="1"/>
      <c r="G13" s="1"/>
    </row>
    <row r="14" spans="1:7" ht="77.5">
      <c r="A14" s="3" t="s">
        <v>14</v>
      </c>
      <c r="B14" s="5">
        <f t="shared" si="0"/>
        <v>10846.684999999999</v>
      </c>
      <c r="C14" s="1">
        <f>33163.1+96997.12</f>
        <v>130160.22</v>
      </c>
      <c r="E14" s="1"/>
      <c r="F14" s="1"/>
      <c r="G14" s="1"/>
    </row>
    <row r="15" spans="1:7" ht="44.5" customHeight="1">
      <c r="A15" s="3" t="s">
        <v>15</v>
      </c>
      <c r="B15" s="5">
        <f t="shared" si="0"/>
        <v>0</v>
      </c>
      <c r="C15" s="1"/>
      <c r="E15" s="1"/>
      <c r="F15" s="1"/>
      <c r="G15" s="1"/>
    </row>
    <row r="16" spans="1:7" ht="15.5">
      <c r="A16" s="1" t="s">
        <v>16</v>
      </c>
      <c r="B16" s="5">
        <f t="shared" si="0"/>
        <v>1592.5</v>
      </c>
      <c r="C16" s="1">
        <v>19110</v>
      </c>
      <c r="E16" s="1"/>
      <c r="F16" s="1"/>
      <c r="G16" s="1"/>
    </row>
    <row r="17" spans="1:7" ht="15.5">
      <c r="A17" s="1" t="s">
        <v>17</v>
      </c>
      <c r="B17" s="5">
        <f t="shared" si="0"/>
        <v>1510.7</v>
      </c>
      <c r="C17" s="1">
        <v>18128.400000000001</v>
      </c>
      <c r="E17" s="2"/>
      <c r="F17" s="1"/>
      <c r="G17" s="2"/>
    </row>
    <row r="18" spans="1:7" ht="15.5">
      <c r="A18" s="1" t="s">
        <v>18</v>
      </c>
      <c r="B18" s="5">
        <f t="shared" si="0"/>
        <v>0</v>
      </c>
      <c r="C18" s="1"/>
      <c r="E18" s="3"/>
      <c r="F18" s="5"/>
      <c r="G18" s="1"/>
    </row>
    <row r="19" spans="1:7" ht="15.5">
      <c r="A19" s="1" t="s">
        <v>19</v>
      </c>
      <c r="B19" s="5">
        <f t="shared" si="0"/>
        <v>0</v>
      </c>
      <c r="C19" s="1"/>
      <c r="E19" s="3"/>
      <c r="F19" s="5"/>
      <c r="G19" s="1"/>
    </row>
    <row r="20" spans="1:7" ht="15.5">
      <c r="A20" s="1" t="s">
        <v>20</v>
      </c>
      <c r="B20" s="5">
        <f t="shared" si="0"/>
        <v>801.89</v>
      </c>
      <c r="C20" s="1">
        <v>9622.68</v>
      </c>
      <c r="E20" s="2"/>
      <c r="F20" s="5"/>
      <c r="G20" s="2"/>
    </row>
    <row r="21" spans="1:7" ht="15.5">
      <c r="A21" s="1" t="s">
        <v>21</v>
      </c>
      <c r="B21" s="5">
        <f t="shared" si="0"/>
        <v>1085.0283333333334</v>
      </c>
      <c r="C21" s="1">
        <v>13020.34</v>
      </c>
      <c r="E21" s="2"/>
      <c r="F21" s="5"/>
      <c r="G21" s="1"/>
    </row>
    <row r="22" spans="1:7" ht="15.5">
      <c r="A22" s="1" t="s">
        <v>22</v>
      </c>
      <c r="B22" s="5">
        <f t="shared" si="0"/>
        <v>3550.2950000000001</v>
      </c>
      <c r="C22" s="1">
        <v>42603.54</v>
      </c>
      <c r="E22" s="3"/>
      <c r="F22" s="5"/>
      <c r="G22" s="1"/>
    </row>
    <row r="23" spans="1:7" ht="15.5">
      <c r="A23" s="1" t="s">
        <v>23</v>
      </c>
      <c r="B23" s="5">
        <f t="shared" si="0"/>
        <v>460.79333333333335</v>
      </c>
      <c r="C23" s="1">
        <v>5529.52</v>
      </c>
      <c r="E23" s="3"/>
      <c r="F23" s="5"/>
      <c r="G23" s="1"/>
    </row>
    <row r="24" spans="1:7" ht="15.5">
      <c r="A24" s="1" t="s">
        <v>24</v>
      </c>
      <c r="B24" s="5">
        <f t="shared" si="0"/>
        <v>2170.5866666666666</v>
      </c>
      <c r="C24" s="1">
        <v>26047.040000000001</v>
      </c>
      <c r="E24" s="3"/>
      <c r="F24" s="5"/>
      <c r="G24" s="1"/>
    </row>
    <row r="25" spans="1:7" ht="15.5">
      <c r="A25" s="1" t="s">
        <v>25</v>
      </c>
      <c r="B25" s="5">
        <f t="shared" si="0"/>
        <v>245.91583333333332</v>
      </c>
      <c r="C25" s="1">
        <v>2950.99</v>
      </c>
      <c r="E25" s="1"/>
      <c r="F25" s="5"/>
      <c r="G25" s="1"/>
    </row>
    <row r="26" spans="1:7" ht="15.5">
      <c r="A26" s="1" t="s">
        <v>26</v>
      </c>
      <c r="B26" s="5">
        <f t="shared" si="0"/>
        <v>0</v>
      </c>
      <c r="C26" s="1"/>
      <c r="E26" s="1"/>
      <c r="F26" s="5"/>
      <c r="G26" s="1"/>
    </row>
    <row r="27" spans="1:7" ht="15.5">
      <c r="A27" s="1" t="s">
        <v>27</v>
      </c>
      <c r="B27" s="5">
        <f t="shared" si="0"/>
        <v>8958.5208333333339</v>
      </c>
      <c r="C27" s="1">
        <v>107502.25</v>
      </c>
      <c r="E27" s="1"/>
      <c r="F27" s="5"/>
      <c r="G27" s="1"/>
    </row>
    <row r="28" spans="1:7" ht="15.5">
      <c r="A28" s="2" t="s">
        <v>28</v>
      </c>
      <c r="B28" s="5">
        <f t="shared" si="0"/>
        <v>41906.485833333332</v>
      </c>
      <c r="C28" s="2">
        <f>SUM(C13:C27)</f>
        <v>502877.83</v>
      </c>
      <c r="E28" s="1"/>
      <c r="F28" s="5"/>
      <c r="G28" s="1"/>
    </row>
    <row r="29" spans="1:7" ht="22" customHeight="1">
      <c r="A29" s="2" t="s">
        <v>29</v>
      </c>
      <c r="B29" s="1"/>
      <c r="C29" s="2"/>
      <c r="E29" s="1"/>
      <c r="F29" s="5"/>
      <c r="G29" s="1"/>
    </row>
    <row r="30" spans="1:7" ht="28" customHeight="1">
      <c r="A30" s="2" t="s">
        <v>30</v>
      </c>
      <c r="B30" s="1"/>
      <c r="C30" s="2">
        <v>53759.05</v>
      </c>
      <c r="E30" s="1"/>
      <c r="F30" s="5"/>
      <c r="G30" s="1"/>
    </row>
    <row r="31" spans="1:7" ht="46.5" customHeight="1">
      <c r="A31" s="3" t="s">
        <v>31</v>
      </c>
      <c r="B31" s="1"/>
      <c r="C31" s="1">
        <v>99092.61</v>
      </c>
      <c r="E31" s="1"/>
      <c r="F31" s="5"/>
      <c r="G31" s="1"/>
    </row>
    <row r="32" spans="1:7" ht="11" hidden="1" customHeight="1">
      <c r="A32" s="3" t="s">
        <v>32</v>
      </c>
      <c r="B32" s="1"/>
      <c r="C32" s="1"/>
      <c r="E32" s="1"/>
      <c r="F32" s="5"/>
      <c r="G32" s="1"/>
    </row>
    <row r="33" spans="1:7" ht="34" customHeight="1">
      <c r="A33" s="2" t="s">
        <v>33</v>
      </c>
      <c r="B33" s="2"/>
      <c r="C33" s="2">
        <v>-152851.66</v>
      </c>
      <c r="E33" s="1"/>
      <c r="F33" s="5"/>
      <c r="G33" s="1"/>
    </row>
    <row r="34" spans="1:7" ht="37.5" customHeight="1">
      <c r="A34" s="1" t="s">
        <v>34</v>
      </c>
      <c r="B34" s="1"/>
      <c r="C34" s="1"/>
      <c r="E34" s="1"/>
      <c r="F34" s="5"/>
      <c r="G34" s="1"/>
    </row>
    <row r="35" spans="1:7" ht="46" customHeight="1">
      <c r="A35" s="1" t="s">
        <v>35</v>
      </c>
      <c r="B35" s="1"/>
      <c r="C35" s="1"/>
      <c r="E35" s="1"/>
      <c r="F35" s="5"/>
      <c r="G35" s="1"/>
    </row>
    <row r="36" spans="1:7" ht="37" customHeight="1">
      <c r="A36" s="1" t="s">
        <v>64</v>
      </c>
      <c r="B36" s="1"/>
      <c r="C36" s="1"/>
      <c r="E36" s="1"/>
      <c r="F36" s="5"/>
      <c r="G36" s="1"/>
    </row>
    <row r="37" spans="1:7" ht="15.5">
      <c r="A37" s="1" t="s">
        <v>36</v>
      </c>
      <c r="B37" s="1"/>
      <c r="C37" s="1"/>
      <c r="E37" s="2"/>
      <c r="F37" s="5"/>
      <c r="G37" s="2"/>
    </row>
    <row r="38" spans="1:7" ht="15.5">
      <c r="E38" s="2"/>
      <c r="F38" s="1"/>
      <c r="G38" s="2"/>
    </row>
    <row r="39" spans="1:7" ht="15.5">
      <c r="E39" s="2"/>
      <c r="F39" s="1"/>
      <c r="G39" s="2"/>
    </row>
    <row r="40" spans="1:7" ht="15.5">
      <c r="E40" s="3"/>
      <c r="F40" s="1"/>
      <c r="G40" s="1"/>
    </row>
    <row r="41" spans="1:7" ht="15.5">
      <c r="E41" s="3"/>
      <c r="F41" s="1"/>
      <c r="G41" s="1"/>
    </row>
    <row r="42" spans="1:7" ht="15.5">
      <c r="E42" s="2"/>
      <c r="F42" s="2"/>
      <c r="G42" s="2"/>
    </row>
    <row r="43" spans="1:7" ht="15.5">
      <c r="E43" s="1"/>
      <c r="F43" s="1"/>
      <c r="G43" s="1"/>
    </row>
    <row r="44" spans="1:7" ht="15.5">
      <c r="E44" s="1"/>
      <c r="F44" s="1"/>
      <c r="G44" s="1"/>
    </row>
    <row r="45" spans="1:7" ht="15.5">
      <c r="E45" s="1"/>
      <c r="F45" s="1"/>
      <c r="G45" s="1"/>
    </row>
    <row r="46" spans="1:7" ht="15.5">
      <c r="E46" s="1"/>
      <c r="F46" s="1"/>
      <c r="G46" s="1"/>
    </row>
  </sheetData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8.7265625" customWidth="1"/>
    <col min="2" max="2" width="17.1796875" customWidth="1"/>
    <col min="3" max="3" width="16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96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-61612.33</v>
      </c>
    </row>
    <row r="9" spans="1:3" ht="31">
      <c r="A9" s="3" t="s">
        <v>9</v>
      </c>
      <c r="B9" s="5">
        <f>C9/12</f>
        <v>73453.101666666669</v>
      </c>
      <c r="C9" s="1">
        <v>881437.22</v>
      </c>
    </row>
    <row r="10" spans="1:3" ht="46.5">
      <c r="A10" s="3" t="s">
        <v>10</v>
      </c>
      <c r="B10" s="5">
        <f t="shared" ref="B10:B28" si="0">C10/12</f>
        <v>11599.000833333334</v>
      </c>
      <c r="C10" s="1">
        <f>117250.51+21937.5</f>
        <v>139188.01</v>
      </c>
    </row>
    <row r="11" spans="1:3" ht="15.5">
      <c r="A11" s="2" t="s">
        <v>11</v>
      </c>
      <c r="B11" s="5">
        <f t="shared" si="0"/>
        <v>85052.102499999994</v>
      </c>
      <c r="C11" s="2">
        <f>SUM(C9:C10)</f>
        <v>1020625.23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22069.358333333334</v>
      </c>
      <c r="C13" s="1">
        <f>216784.96+48047.34</f>
        <v>264832.3</v>
      </c>
    </row>
    <row r="14" spans="1:3" ht="77.5">
      <c r="A14" s="3" t="s">
        <v>14</v>
      </c>
      <c r="B14" s="5">
        <f t="shared" si="0"/>
        <v>16533.833333333332</v>
      </c>
      <c r="C14" s="1">
        <f>56031.62+142374.38</f>
        <v>198406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3590.1666666666665</v>
      </c>
      <c r="C16" s="1">
        <v>43082</v>
      </c>
    </row>
    <row r="17" spans="1:3" ht="15.5">
      <c r="A17" s="1" t="s">
        <v>17</v>
      </c>
      <c r="B17" s="5">
        <f t="shared" si="0"/>
        <v>3156.2900000000004</v>
      </c>
      <c r="C17" s="1">
        <v>37875.480000000003</v>
      </c>
    </row>
    <row r="18" spans="1:3" ht="15.5">
      <c r="A18" s="1" t="s">
        <v>18</v>
      </c>
      <c r="B18" s="5">
        <f t="shared" si="0"/>
        <v>448.8533333333333</v>
      </c>
      <c r="C18" s="1">
        <v>5386.24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1515.9008333333334</v>
      </c>
      <c r="C20" s="1">
        <v>18190.810000000001</v>
      </c>
    </row>
    <row r="21" spans="1:3" ht="15.5">
      <c r="A21" s="1" t="s">
        <v>21</v>
      </c>
      <c r="B21" s="5">
        <f t="shared" si="0"/>
        <v>2189.2016666666664</v>
      </c>
      <c r="C21" s="1">
        <v>26270.42</v>
      </c>
    </row>
    <row r="22" spans="1:3" ht="15.5">
      <c r="A22" s="1" t="s">
        <v>22</v>
      </c>
      <c r="B22" s="5">
        <f t="shared" si="0"/>
        <v>6658.1133333333337</v>
      </c>
      <c r="C22" s="1">
        <v>79897.36</v>
      </c>
    </row>
    <row r="23" spans="1:3" ht="15.5">
      <c r="A23" s="1" t="s">
        <v>23</v>
      </c>
      <c r="B23" s="5">
        <f t="shared" si="0"/>
        <v>1365.1583333333333</v>
      </c>
      <c r="C23" s="1">
        <v>16381.9</v>
      </c>
    </row>
    <row r="24" spans="1:3" ht="15.5">
      <c r="A24" s="1" t="s">
        <v>24</v>
      </c>
      <c r="B24" s="5">
        <f t="shared" si="0"/>
        <v>4408.4975000000004</v>
      </c>
      <c r="C24" s="1">
        <v>52901.97</v>
      </c>
    </row>
    <row r="25" spans="1:3" ht="15.5">
      <c r="A25" s="1" t="s">
        <v>25</v>
      </c>
      <c r="B25" s="5">
        <f t="shared" si="0"/>
        <v>473.68333333333334</v>
      </c>
      <c r="C25" s="1">
        <v>5684.2</v>
      </c>
    </row>
    <row r="26" spans="1:3" ht="15.5">
      <c r="A26" s="1" t="s">
        <v>26</v>
      </c>
      <c r="B26" s="5">
        <f t="shared" si="0"/>
        <v>237.5</v>
      </c>
      <c r="C26" s="1">
        <v>2850</v>
      </c>
    </row>
    <row r="27" spans="1:3" ht="15.5">
      <c r="A27" s="1" t="s">
        <v>27</v>
      </c>
      <c r="B27" s="5">
        <f t="shared" si="0"/>
        <v>16800.535</v>
      </c>
      <c r="C27" s="1">
        <v>201606.42</v>
      </c>
    </row>
    <row r="28" spans="1:3" ht="15.5">
      <c r="A28" s="2" t="s">
        <v>28</v>
      </c>
      <c r="B28" s="5">
        <f t="shared" si="0"/>
        <v>79447.091666666674</v>
      </c>
      <c r="C28" s="2">
        <f>SUM(C13:C27)</f>
        <v>953365.10000000009</v>
      </c>
    </row>
    <row r="29" spans="1:3" ht="23" customHeight="1">
      <c r="A29" s="2" t="s">
        <v>29</v>
      </c>
      <c r="B29" s="1"/>
      <c r="C29" s="2">
        <v>5647.8</v>
      </c>
    </row>
    <row r="30" spans="1:3" ht="37" customHeight="1">
      <c r="A30" s="2" t="s">
        <v>30</v>
      </c>
      <c r="B30" s="1"/>
      <c r="C30" s="2"/>
    </row>
    <row r="31" spans="1:3" ht="50.5" customHeight="1">
      <c r="A31" s="3" t="s">
        <v>31</v>
      </c>
      <c r="B31" s="1"/>
      <c r="C31" s="1">
        <v>95998.43</v>
      </c>
    </row>
    <row r="32" spans="1:3" ht="62" hidden="1">
      <c r="A32" s="3" t="s">
        <v>32</v>
      </c>
      <c r="B32" s="1"/>
      <c r="C32" s="1"/>
    </row>
    <row r="33" spans="1:3" ht="41.5" customHeight="1">
      <c r="A33" s="2" t="s">
        <v>33</v>
      </c>
      <c r="B33" s="2"/>
      <c r="C33" s="2">
        <v>-90350.63</v>
      </c>
    </row>
    <row r="34" spans="1:3" ht="40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31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50.7265625" customWidth="1"/>
    <col min="2" max="2" width="15.6328125" customWidth="1"/>
    <col min="3" max="3" width="15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98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-114667.17</v>
      </c>
    </row>
    <row r="9" spans="1:3" ht="31">
      <c r="A9" s="3" t="s">
        <v>9</v>
      </c>
      <c r="B9" s="5">
        <f>C9/12</f>
        <v>41516.365833333337</v>
      </c>
      <c r="C9" s="1">
        <v>498196.39</v>
      </c>
    </row>
    <row r="10" spans="1:3" ht="46.5">
      <c r="A10" s="3" t="s">
        <v>10</v>
      </c>
      <c r="B10" s="5">
        <f t="shared" ref="B10:B28" si="0">C10/12</f>
        <v>3464.0424999999996</v>
      </c>
      <c r="C10" s="1">
        <f>30745.01+10823.5</f>
        <v>41568.509999999995</v>
      </c>
    </row>
    <row r="11" spans="1:3" ht="15.5">
      <c r="A11" s="2" t="s">
        <v>11</v>
      </c>
      <c r="B11" s="5">
        <f t="shared" si="0"/>
        <v>44980.408333333333</v>
      </c>
      <c r="C11" s="2">
        <f>SUM(C9:C10)</f>
        <v>539764.9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10809.506666666666</v>
      </c>
      <c r="C13" s="1">
        <f>106180.64+23533.44</f>
        <v>129714.08</v>
      </c>
    </row>
    <row r="14" spans="1:3" ht="62">
      <c r="A14" s="3" t="s">
        <v>14</v>
      </c>
      <c r="B14" s="5">
        <f t="shared" si="0"/>
        <v>9777.1916666666675</v>
      </c>
      <c r="C14" s="1">
        <f>28731.42+88594.88</f>
        <v>117326.3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5431.5</v>
      </c>
      <c r="C16" s="1">
        <v>65178</v>
      </c>
    </row>
    <row r="17" spans="1:3" ht="15.5">
      <c r="A17" s="1" t="s">
        <v>17</v>
      </c>
      <c r="B17" s="5">
        <f t="shared" si="0"/>
        <v>1550.9799999999998</v>
      </c>
      <c r="C17" s="1">
        <v>18611.759999999998</v>
      </c>
    </row>
    <row r="18" spans="1:3" ht="15.5">
      <c r="A18" s="1" t="s">
        <v>18</v>
      </c>
      <c r="B18" s="5">
        <f t="shared" si="0"/>
        <v>388.56333333333333</v>
      </c>
      <c r="C18" s="1">
        <v>4662.76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812.87416666666661</v>
      </c>
      <c r="C20" s="1">
        <v>9754.49</v>
      </c>
    </row>
    <row r="21" spans="1:3" ht="15.5">
      <c r="A21" s="1" t="s">
        <v>21</v>
      </c>
      <c r="B21" s="5">
        <f t="shared" si="0"/>
        <v>1118.5566666666666</v>
      </c>
      <c r="C21" s="1">
        <v>13422.68</v>
      </c>
    </row>
    <row r="22" spans="1:3" ht="15.5">
      <c r="A22" s="1" t="s">
        <v>22</v>
      </c>
      <c r="B22" s="5">
        <f t="shared" si="0"/>
        <v>3597.6666666666665</v>
      </c>
      <c r="C22" s="1">
        <v>43172</v>
      </c>
    </row>
    <row r="23" spans="1:3" ht="15.5">
      <c r="A23" s="1" t="s">
        <v>23</v>
      </c>
      <c r="B23" s="5">
        <f t="shared" si="0"/>
        <v>496.87583333333333</v>
      </c>
      <c r="C23" s="1">
        <v>5962.51</v>
      </c>
    </row>
    <row r="24" spans="1:3" ht="15.5">
      <c r="A24" s="1" t="s">
        <v>24</v>
      </c>
      <c r="B24" s="5">
        <f t="shared" si="0"/>
        <v>2245.0774999999999</v>
      </c>
      <c r="C24" s="1">
        <v>26940.93</v>
      </c>
    </row>
    <row r="25" spans="1:3" ht="15.5">
      <c r="A25" s="1" t="s">
        <v>25</v>
      </c>
      <c r="B25" s="5">
        <f t="shared" si="0"/>
        <v>266.0983333333333</v>
      </c>
      <c r="C25" s="1">
        <v>3193.18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8244.7216666666664</v>
      </c>
      <c r="C27" s="1">
        <v>98936.66</v>
      </c>
    </row>
    <row r="28" spans="1:3" ht="19" customHeight="1">
      <c r="A28" s="2" t="s">
        <v>28</v>
      </c>
      <c r="B28" s="5">
        <f t="shared" si="0"/>
        <v>44739.612499999996</v>
      </c>
      <c r="C28" s="2">
        <f>SUM(C13:C27)</f>
        <v>536875.35</v>
      </c>
    </row>
    <row r="29" spans="1:3" ht="33" customHeight="1">
      <c r="A29" s="2" t="s">
        <v>29</v>
      </c>
      <c r="B29" s="1"/>
      <c r="C29" s="2"/>
    </row>
    <row r="30" spans="1:3" ht="31.5" customHeight="1">
      <c r="A30" s="2" t="s">
        <v>30</v>
      </c>
      <c r="B30" s="1"/>
      <c r="C30" s="2">
        <v>111777.62</v>
      </c>
    </row>
    <row r="31" spans="1:3" ht="45.5" customHeight="1">
      <c r="A31" s="3" t="s">
        <v>31</v>
      </c>
      <c r="B31" s="1"/>
      <c r="C31" s="1">
        <v>55114.73</v>
      </c>
    </row>
    <row r="32" spans="1:3" ht="1" customHeight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-166892.35</v>
      </c>
    </row>
    <row r="34" spans="1:3" ht="42" customHeight="1">
      <c r="A34" s="1" t="s">
        <v>34</v>
      </c>
      <c r="B34" s="1"/>
      <c r="C34" s="1"/>
    </row>
    <row r="35" spans="1:3" ht="37" customHeight="1">
      <c r="A35" s="1" t="s">
        <v>35</v>
      </c>
      <c r="B35" s="1"/>
      <c r="C35" s="1"/>
    </row>
    <row r="36" spans="1:3" ht="32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E30" sqref="E30"/>
    </sheetView>
  </sheetViews>
  <sheetFormatPr defaultRowHeight="14.5"/>
  <cols>
    <col min="1" max="1" width="49.1796875" customWidth="1"/>
    <col min="2" max="2" width="16.8164062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99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-128353.55</v>
      </c>
    </row>
    <row r="9" spans="1:3" ht="31">
      <c r="A9" s="3" t="s">
        <v>9</v>
      </c>
      <c r="B9" s="5">
        <f>C9/12</f>
        <v>34025.177499999998</v>
      </c>
      <c r="C9" s="1">
        <f>408302.13</f>
        <v>408302.13</v>
      </c>
    </row>
    <row r="10" spans="1:3" ht="46.5">
      <c r="A10" s="3" t="s">
        <v>10</v>
      </c>
      <c r="B10" s="5">
        <f t="shared" ref="B10:B28" si="0">C10/12</f>
        <v>11286.711666666664</v>
      </c>
      <c r="C10" s="1">
        <f>124617.04+10823.5</f>
        <v>135440.53999999998</v>
      </c>
    </row>
    <row r="11" spans="1:3" ht="15.5">
      <c r="A11" s="2" t="s">
        <v>11</v>
      </c>
      <c r="B11" s="5">
        <f t="shared" si="0"/>
        <v>45311.88916666666</v>
      </c>
      <c r="C11" s="2">
        <f>SUM(C9:C10)</f>
        <v>543742.66999999993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12250.800000000001</v>
      </c>
      <c r="C13" s="1">
        <f>120302.86+26706.74</f>
        <v>147009.60000000001</v>
      </c>
    </row>
    <row r="14" spans="1:3" ht="62">
      <c r="A14" s="3" t="s">
        <v>14</v>
      </c>
      <c r="B14" s="5">
        <f t="shared" si="0"/>
        <v>7537.0749999999998</v>
      </c>
      <c r="C14" s="1">
        <f>63371.48+27073.42</f>
        <v>90444.9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5618.333333333333</v>
      </c>
      <c r="C16" s="1">
        <v>67420</v>
      </c>
    </row>
    <row r="17" spans="1:3" ht="15.5">
      <c r="A17" s="1" t="s">
        <v>17</v>
      </c>
      <c r="B17" s="5">
        <f t="shared" si="0"/>
        <v>1735.3400000000001</v>
      </c>
      <c r="C17" s="1">
        <v>20824.080000000002</v>
      </c>
    </row>
    <row r="18" spans="1:3" ht="15.5">
      <c r="A18" s="1" t="s">
        <v>18</v>
      </c>
      <c r="B18" s="5">
        <f t="shared" si="0"/>
        <v>29.5</v>
      </c>
      <c r="C18" s="1">
        <v>354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714.01166666666666</v>
      </c>
      <c r="C20" s="1">
        <v>8568.14</v>
      </c>
    </row>
    <row r="21" spans="1:3" ht="15.5">
      <c r="A21" s="1" t="s">
        <v>21</v>
      </c>
      <c r="B21" s="5">
        <f t="shared" si="0"/>
        <v>1141.7933333333333</v>
      </c>
      <c r="C21" s="1">
        <v>13701.52</v>
      </c>
    </row>
    <row r="22" spans="1:3" ht="15.5">
      <c r="A22" s="1" t="s">
        <v>22</v>
      </c>
      <c r="B22" s="5">
        <f t="shared" si="0"/>
        <v>4076.7991666666662</v>
      </c>
      <c r="C22" s="1">
        <v>48921.59</v>
      </c>
    </row>
    <row r="23" spans="1:3" ht="15.5">
      <c r="A23" s="1" t="s">
        <v>23</v>
      </c>
      <c r="B23" s="5">
        <f t="shared" si="0"/>
        <v>41.6875</v>
      </c>
      <c r="C23" s="1">
        <v>500.25</v>
      </c>
    </row>
    <row r="24" spans="1:3" ht="15.5">
      <c r="A24" s="1" t="s">
        <v>24</v>
      </c>
      <c r="B24" s="5">
        <f t="shared" si="0"/>
        <v>2348.6466666666665</v>
      </c>
      <c r="C24" s="1">
        <v>28183.759999999998</v>
      </c>
    </row>
    <row r="25" spans="1:3" ht="15.5">
      <c r="A25" s="1" t="s">
        <v>25</v>
      </c>
      <c r="B25" s="5">
        <f t="shared" si="0"/>
        <v>265.435</v>
      </c>
      <c r="C25" s="1">
        <v>3185.22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10287.058333333332</v>
      </c>
      <c r="C27" s="1">
        <v>123444.7</v>
      </c>
    </row>
    <row r="28" spans="1:3" ht="15.5">
      <c r="A28" s="2" t="s">
        <v>28</v>
      </c>
      <c r="B28" s="5">
        <f t="shared" si="0"/>
        <v>46046.48</v>
      </c>
      <c r="C28" s="2">
        <f>SUM(C13:C27)</f>
        <v>552557.76</v>
      </c>
    </row>
    <row r="29" spans="1:3" ht="23.5" customHeight="1">
      <c r="A29" s="2" t="s">
        <v>29</v>
      </c>
      <c r="B29" s="1"/>
      <c r="C29" s="2"/>
    </row>
    <row r="30" spans="1:3" ht="30" customHeight="1">
      <c r="A30" s="2" t="s">
        <v>30</v>
      </c>
      <c r="B30" s="1"/>
      <c r="C30" s="2">
        <v>137168.64000000001</v>
      </c>
    </row>
    <row r="31" spans="1:3" ht="36" customHeight="1">
      <c r="A31" s="3" t="s">
        <v>31</v>
      </c>
      <c r="B31" s="1"/>
      <c r="C31" s="1">
        <v>7121.92</v>
      </c>
    </row>
    <row r="32" spans="1:3" ht="0.5" customHeight="1">
      <c r="A32" s="3" t="s">
        <v>32</v>
      </c>
      <c r="B32" s="1"/>
      <c r="C32" s="1"/>
    </row>
    <row r="33" spans="1:3" ht="26.5" customHeight="1">
      <c r="A33" s="2" t="s">
        <v>33</v>
      </c>
      <c r="B33" s="2"/>
      <c r="C33" s="2">
        <v>-144290.56</v>
      </c>
    </row>
    <row r="34" spans="1:3" ht="35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27.5" customHeight="1">
      <c r="A36" s="1" t="s">
        <v>64</v>
      </c>
      <c r="B36" s="1"/>
      <c r="C36" s="1"/>
    </row>
    <row r="37" spans="1:3" ht="2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6.26953125" customWidth="1"/>
    <col min="2" max="2" width="15.6328125" customWidth="1"/>
    <col min="3" max="3" width="15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100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-55563.21</v>
      </c>
    </row>
    <row r="9" spans="1:3" ht="30" customHeight="1">
      <c r="A9" s="3" t="s">
        <v>9</v>
      </c>
      <c r="B9" s="5">
        <f>C9/12</f>
        <v>32741.041666666668</v>
      </c>
      <c r="C9" s="1">
        <v>392892.5</v>
      </c>
    </row>
    <row r="10" spans="1:3" ht="46.5">
      <c r="A10" s="3" t="s">
        <v>10</v>
      </c>
      <c r="B10" s="5">
        <f t="shared" ref="B10:B28" si="0">C10/12</f>
        <v>1228.7083333333333</v>
      </c>
      <c r="C10" s="1">
        <f>14744.5</f>
        <v>14744.5</v>
      </c>
    </row>
    <row r="11" spans="1:3" ht="15.5">
      <c r="A11" s="2" t="s">
        <v>11</v>
      </c>
      <c r="B11" s="5">
        <f t="shared" si="0"/>
        <v>33969.75</v>
      </c>
      <c r="C11" s="2">
        <f>SUM(C9:C10)</f>
        <v>407637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8513.9524999999994</v>
      </c>
      <c r="C13" s="1">
        <f>83631.65+18535.78</f>
        <v>102167.43</v>
      </c>
    </row>
    <row r="14" spans="1:3" ht="77.5">
      <c r="A14" s="3" t="s">
        <v>14</v>
      </c>
      <c r="B14" s="5">
        <f t="shared" si="0"/>
        <v>6249.88</v>
      </c>
      <c r="C14" s="1">
        <f>20960.36+54038.2</f>
        <v>74998.559999999998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375.5</v>
      </c>
      <c r="C16" s="1">
        <v>4506</v>
      </c>
    </row>
    <row r="17" spans="1:3" ht="15.5">
      <c r="A17" s="1" t="s">
        <v>17</v>
      </c>
      <c r="B17" s="5">
        <f t="shared" si="0"/>
        <v>1228.32</v>
      </c>
      <c r="C17" s="1">
        <v>14739.84</v>
      </c>
    </row>
    <row r="18" spans="1:3" ht="15.5">
      <c r="A18" s="1" t="s">
        <v>18</v>
      </c>
      <c r="B18" s="5">
        <f t="shared" si="0"/>
        <v>92.399999999999991</v>
      </c>
      <c r="C18" s="1">
        <v>1108.8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549.23916666666662</v>
      </c>
      <c r="C20" s="1">
        <v>6590.87</v>
      </c>
    </row>
    <row r="21" spans="1:3" ht="15.5">
      <c r="A21" s="1" t="s">
        <v>21</v>
      </c>
      <c r="B21" s="5">
        <f t="shared" si="0"/>
        <v>919.03666666666675</v>
      </c>
      <c r="C21" s="1">
        <v>11028.44</v>
      </c>
    </row>
    <row r="22" spans="1:3" ht="15.5">
      <c r="A22" s="1" t="s">
        <v>22</v>
      </c>
      <c r="B22" s="5">
        <f t="shared" si="0"/>
        <v>2888.1041666666665</v>
      </c>
      <c r="C22" s="1">
        <v>34657.25</v>
      </c>
    </row>
    <row r="23" spans="1:3" ht="15.5">
      <c r="A23" s="1" t="s">
        <v>23</v>
      </c>
      <c r="B23" s="5">
        <f t="shared" si="0"/>
        <v>375.28833333333336</v>
      </c>
      <c r="C23" s="1">
        <v>4503.46</v>
      </c>
    </row>
    <row r="24" spans="1:3" ht="15.5">
      <c r="A24" s="1" t="s">
        <v>24</v>
      </c>
      <c r="B24" s="5">
        <f t="shared" si="0"/>
        <v>1760.7508333333333</v>
      </c>
      <c r="C24" s="1">
        <v>21129.01</v>
      </c>
    </row>
    <row r="25" spans="1:3" ht="15.5">
      <c r="A25" s="1" t="s">
        <v>25</v>
      </c>
      <c r="B25" s="5">
        <f t="shared" si="0"/>
        <v>187.00166666666667</v>
      </c>
      <c r="C25" s="1">
        <v>2244.02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7287.6033333333335</v>
      </c>
      <c r="C27" s="1">
        <v>87451.24</v>
      </c>
    </row>
    <row r="28" spans="1:3" ht="15.5">
      <c r="A28" s="2" t="s">
        <v>28</v>
      </c>
      <c r="B28" s="5">
        <f t="shared" si="0"/>
        <v>30427.076666666664</v>
      </c>
      <c r="C28" s="2">
        <f>SUM(C13:C27)</f>
        <v>365124.92</v>
      </c>
    </row>
    <row r="29" spans="1:3" ht="21.5" customHeight="1">
      <c r="A29" s="2" t="s">
        <v>29</v>
      </c>
      <c r="B29" s="1"/>
      <c r="C29" s="2"/>
    </row>
    <row r="30" spans="1:3" ht="28.5" customHeight="1">
      <c r="A30" s="2" t="s">
        <v>30</v>
      </c>
      <c r="B30" s="1"/>
      <c r="C30" s="2">
        <v>13051.13</v>
      </c>
    </row>
    <row r="31" spans="1:3" ht="45.5" customHeight="1">
      <c r="A31" s="3" t="s">
        <v>31</v>
      </c>
      <c r="B31" s="1"/>
      <c r="C31" s="1">
        <v>125464.73</v>
      </c>
    </row>
    <row r="32" spans="1:3" ht="0.5" customHeight="1">
      <c r="A32" s="3" t="s">
        <v>32</v>
      </c>
      <c r="B32" s="1"/>
      <c r="C32" s="1"/>
    </row>
    <row r="33" spans="1:3" ht="22" customHeight="1">
      <c r="A33" s="2" t="s">
        <v>33</v>
      </c>
      <c r="B33" s="2"/>
      <c r="C33" s="2">
        <v>-138515.85999999999</v>
      </c>
    </row>
    <row r="34" spans="1:3" ht="42" customHeight="1">
      <c r="A34" s="1" t="s">
        <v>34</v>
      </c>
      <c r="B34" s="1"/>
      <c r="C34" s="1"/>
    </row>
    <row r="35" spans="1:3" ht="36" customHeight="1">
      <c r="A35" s="1" t="s">
        <v>35</v>
      </c>
      <c r="B35" s="1"/>
      <c r="C35" s="1"/>
    </row>
    <row r="36" spans="1:3" ht="38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9"/>
    </sheetView>
  </sheetViews>
  <sheetFormatPr defaultRowHeight="14.5"/>
  <cols>
    <col min="1" max="1" width="49.08984375" customWidth="1"/>
    <col min="2" max="2" width="18.0898437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101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62996.59</v>
      </c>
    </row>
    <row r="9" spans="1:3" ht="31">
      <c r="A9" s="3" t="s">
        <v>9</v>
      </c>
      <c r="B9" s="5">
        <f>C9/12</f>
        <v>44411.597500000003</v>
      </c>
      <c r="C9" s="1">
        <v>532939.17000000004</v>
      </c>
    </row>
    <row r="10" spans="1:3" ht="46.5">
      <c r="A10" s="3" t="s">
        <v>10</v>
      </c>
      <c r="B10" s="5">
        <f t="shared" ref="B10:B28" si="0">C10/12</f>
        <v>1228.7083333333333</v>
      </c>
      <c r="C10" s="1">
        <v>14744.5</v>
      </c>
    </row>
    <row r="11" spans="1:3" ht="15.5">
      <c r="A11" s="2" t="s">
        <v>11</v>
      </c>
      <c r="B11" s="5">
        <f t="shared" si="0"/>
        <v>45640.305833333339</v>
      </c>
      <c r="C11" s="2">
        <f>SUM(C9:C10)</f>
        <v>547683.67000000004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11270.653333333334</v>
      </c>
      <c r="C13" s="1">
        <f>110710.44+24537.4</f>
        <v>135247.84</v>
      </c>
    </row>
    <row r="14" spans="1:3" ht="62">
      <c r="A14" s="3" t="s">
        <v>14</v>
      </c>
      <c r="B14" s="5">
        <f t="shared" si="0"/>
        <v>8031.0749999999998</v>
      </c>
      <c r="C14" s="1">
        <f>61577.18+34795.72</f>
        <v>96372.9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1711.25</v>
      </c>
      <c r="C16" s="1">
        <v>20535</v>
      </c>
    </row>
    <row r="17" spans="1:3" ht="15.5">
      <c r="A17" s="1" t="s">
        <v>17</v>
      </c>
      <c r="B17" s="5">
        <f t="shared" si="0"/>
        <v>1595.14</v>
      </c>
      <c r="C17" s="1">
        <v>19141.68</v>
      </c>
    </row>
    <row r="18" spans="1:3" ht="15.5">
      <c r="A18" s="1" t="s">
        <v>18</v>
      </c>
      <c r="B18" s="5">
        <f t="shared" si="0"/>
        <v>155.79999999999998</v>
      </c>
      <c r="C18" s="1">
        <v>1869.6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878.7833333333333</v>
      </c>
      <c r="C20" s="1">
        <v>10545.4</v>
      </c>
    </row>
    <row r="21" spans="1:3" ht="15.5">
      <c r="A21" s="1" t="s">
        <v>21</v>
      </c>
      <c r="B21" s="5">
        <f t="shared" si="0"/>
        <v>1171.8799999999999</v>
      </c>
      <c r="C21" s="1">
        <v>14062.56</v>
      </c>
    </row>
    <row r="22" spans="1:3" ht="15.5">
      <c r="A22" s="1" t="s">
        <v>22</v>
      </c>
      <c r="B22" s="5">
        <f t="shared" si="0"/>
        <v>3748.2416666666668</v>
      </c>
      <c r="C22" s="1">
        <v>44978.9</v>
      </c>
    </row>
    <row r="23" spans="1:3" ht="15.5">
      <c r="A23" s="1" t="s">
        <v>23</v>
      </c>
      <c r="B23" s="5">
        <f t="shared" si="0"/>
        <v>573.22</v>
      </c>
      <c r="C23" s="1">
        <v>6878.64</v>
      </c>
    </row>
    <row r="24" spans="1:3" ht="15.5">
      <c r="A24" s="1" t="s">
        <v>24</v>
      </c>
      <c r="B24" s="5">
        <f t="shared" si="0"/>
        <v>2365.67</v>
      </c>
      <c r="C24" s="1">
        <v>28388.04</v>
      </c>
    </row>
    <row r="25" spans="1:3" ht="15.5">
      <c r="A25" s="1" t="s">
        <v>25</v>
      </c>
      <c r="B25" s="5">
        <f t="shared" si="0"/>
        <v>265.08166666666665</v>
      </c>
      <c r="C25" s="1">
        <v>3180.98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9458.0033333333322</v>
      </c>
      <c r="C27" s="1">
        <v>113496.04</v>
      </c>
    </row>
    <row r="28" spans="1:3" ht="15.5">
      <c r="A28" s="2" t="s">
        <v>28</v>
      </c>
      <c r="B28" s="5">
        <f t="shared" si="0"/>
        <v>41224.798333333332</v>
      </c>
      <c r="C28" s="2">
        <f>SUM(C13:C27)</f>
        <v>494697.57999999996</v>
      </c>
    </row>
    <row r="29" spans="1:3" ht="28.5" customHeight="1">
      <c r="A29" s="2" t="s">
        <v>29</v>
      </c>
      <c r="B29" s="1"/>
      <c r="C29" s="2">
        <v>115982.68</v>
      </c>
    </row>
    <row r="30" spans="1:3" ht="32.5" customHeight="1">
      <c r="A30" s="2" t="s">
        <v>30</v>
      </c>
      <c r="B30" s="1"/>
      <c r="C30" s="2"/>
    </row>
    <row r="31" spans="1:3" ht="35.5" customHeight="1">
      <c r="A31" s="3" t="s">
        <v>31</v>
      </c>
      <c r="B31" s="1"/>
      <c r="C31" s="1">
        <v>123591.19</v>
      </c>
    </row>
    <row r="32" spans="1:3" ht="1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-7608.51</v>
      </c>
    </row>
    <row r="34" spans="1:3" ht="15.5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8" customWidth="1"/>
    <col min="2" max="2" width="14.54296875" customWidth="1"/>
    <col min="3" max="3" width="14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102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-35528.699999999997</v>
      </c>
    </row>
    <row r="9" spans="1:3" ht="32" customHeight="1">
      <c r="A9" s="3" t="s">
        <v>9</v>
      </c>
      <c r="B9" s="5">
        <f>C9/12</f>
        <v>44785.886666666665</v>
      </c>
      <c r="C9" s="1">
        <v>537430.64</v>
      </c>
    </row>
    <row r="10" spans="1:3" ht="46.5">
      <c r="A10" s="3" t="s">
        <v>10</v>
      </c>
      <c r="B10" s="5">
        <f t="shared" ref="B10:B28" si="0">C10/12</f>
        <v>1228.7083333333333</v>
      </c>
      <c r="C10" s="1">
        <v>14744.5</v>
      </c>
    </row>
    <row r="11" spans="1:3" ht="15.5">
      <c r="A11" s="2" t="s">
        <v>11</v>
      </c>
      <c r="B11" s="5">
        <f t="shared" si="0"/>
        <v>46014.595000000001</v>
      </c>
      <c r="C11" s="2">
        <f>SUM(C9:C10)</f>
        <v>552175.14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11489.499166666666</v>
      </c>
      <c r="C13" s="1">
        <f>112860.13+25013.86</f>
        <v>137873.99</v>
      </c>
    </row>
    <row r="14" spans="1:3" ht="61.5" customHeight="1">
      <c r="A14" s="3" t="s">
        <v>14</v>
      </c>
      <c r="B14" s="5">
        <f t="shared" si="0"/>
        <v>10963.71</v>
      </c>
      <c r="C14" s="1">
        <f>40298.24+91266.28</f>
        <v>131564.51999999999</v>
      </c>
    </row>
    <row r="15" spans="1:3" ht="51.5" customHeight="1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1032.75</v>
      </c>
      <c r="C16" s="1">
        <v>12393</v>
      </c>
    </row>
    <row r="17" spans="1:3" ht="15.5">
      <c r="A17" s="1" t="s">
        <v>17</v>
      </c>
      <c r="B17" s="5">
        <f t="shared" si="0"/>
        <v>1603.92</v>
      </c>
      <c r="C17" s="1">
        <v>19247.04</v>
      </c>
    </row>
    <row r="18" spans="1:3" ht="15.5">
      <c r="A18" s="1" t="s">
        <v>18</v>
      </c>
      <c r="B18" s="5">
        <f t="shared" si="0"/>
        <v>133.22999999999999</v>
      </c>
      <c r="C18" s="1">
        <v>1598.76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878.7833333333333</v>
      </c>
      <c r="C20" s="1">
        <v>10545.4</v>
      </c>
    </row>
    <row r="21" spans="1:3" ht="15.5">
      <c r="A21" s="1" t="s">
        <v>21</v>
      </c>
      <c r="B21" s="5">
        <f t="shared" si="0"/>
        <v>1180.3799999999999</v>
      </c>
      <c r="C21" s="1">
        <v>14164.56</v>
      </c>
    </row>
    <row r="22" spans="1:3" ht="15.5">
      <c r="A22" s="1" t="s">
        <v>22</v>
      </c>
      <c r="B22" s="5">
        <f t="shared" si="0"/>
        <v>3770.01</v>
      </c>
      <c r="C22" s="1">
        <v>45240.12</v>
      </c>
    </row>
    <row r="23" spans="1:3" ht="15.5">
      <c r="A23" s="1" t="s">
        <v>23</v>
      </c>
      <c r="B23" s="5">
        <f t="shared" si="0"/>
        <v>513.38083333333327</v>
      </c>
      <c r="C23" s="1">
        <v>6160.57</v>
      </c>
    </row>
    <row r="24" spans="1:3" ht="15.5">
      <c r="A24" s="1" t="s">
        <v>24</v>
      </c>
      <c r="B24" s="5">
        <f t="shared" si="0"/>
        <v>2385.0700000000002</v>
      </c>
      <c r="C24" s="1">
        <v>28620.84</v>
      </c>
    </row>
    <row r="25" spans="1:3" ht="15.5">
      <c r="A25" s="1" t="s">
        <v>25</v>
      </c>
      <c r="B25" s="5">
        <f t="shared" si="0"/>
        <v>265.33583333333337</v>
      </c>
      <c r="C25" s="1">
        <v>3184.03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9512.9316666666655</v>
      </c>
      <c r="C27" s="1">
        <v>114155.18</v>
      </c>
    </row>
    <row r="28" spans="1:3" ht="15.5">
      <c r="A28" s="2" t="s">
        <v>28</v>
      </c>
      <c r="B28" s="5">
        <f t="shared" si="0"/>
        <v>43729.000833333332</v>
      </c>
      <c r="C28" s="2">
        <f>SUM(C13:C27)</f>
        <v>524748.01</v>
      </c>
    </row>
    <row r="29" spans="1:3" ht="31" customHeight="1">
      <c r="A29" s="2" t="s">
        <v>29</v>
      </c>
      <c r="B29" s="1"/>
      <c r="C29" s="2"/>
    </row>
    <row r="30" spans="1:3" ht="31.5" customHeight="1">
      <c r="A30" s="2" t="s">
        <v>30</v>
      </c>
      <c r="B30" s="1"/>
      <c r="C30" s="2">
        <v>8101.57</v>
      </c>
    </row>
    <row r="31" spans="1:3" ht="49.5" customHeight="1">
      <c r="A31" s="3" t="s">
        <v>31</v>
      </c>
      <c r="B31" s="1"/>
      <c r="C31" s="1">
        <v>230344.24</v>
      </c>
    </row>
    <row r="32" spans="1:3" ht="62" hidden="1">
      <c r="A32" s="3" t="s">
        <v>32</v>
      </c>
      <c r="B32" s="1"/>
      <c r="C32" s="1"/>
    </row>
    <row r="33" spans="1:3" ht="39.5" customHeight="1">
      <c r="A33" s="2" t="s">
        <v>33</v>
      </c>
      <c r="B33" s="2"/>
      <c r="C33" s="2">
        <v>-238445.81</v>
      </c>
    </row>
    <row r="34" spans="1:3" ht="36" customHeight="1">
      <c r="A34" s="1" t="s">
        <v>34</v>
      </c>
      <c r="B34" s="1"/>
      <c r="C34" s="1"/>
    </row>
    <row r="35" spans="1:3" ht="40" customHeight="1">
      <c r="A35" s="1" t="s">
        <v>35</v>
      </c>
      <c r="B35" s="1"/>
      <c r="C35" s="1"/>
    </row>
    <row r="36" spans="1:3" ht="33" customHeight="1">
      <c r="A36" s="1" t="s">
        <v>64</v>
      </c>
      <c r="B36" s="1"/>
      <c r="C36" s="1"/>
    </row>
    <row r="37" spans="1:3" ht="3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8.81640625" customWidth="1"/>
    <col min="2" max="2" width="15" customWidth="1"/>
    <col min="3" max="3" width="15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103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-4555.28</v>
      </c>
    </row>
    <row r="9" spans="1:3" ht="31">
      <c r="A9" s="3" t="s">
        <v>9</v>
      </c>
      <c r="B9" s="5">
        <f>C9/12</f>
        <v>44467.265000000007</v>
      </c>
      <c r="C9" s="1">
        <v>533607.18000000005</v>
      </c>
    </row>
    <row r="10" spans="1:3" ht="46.5">
      <c r="A10" s="3" t="s">
        <v>10</v>
      </c>
      <c r="B10" s="5">
        <f t="shared" ref="B10:B28" si="0">C10/12</f>
        <v>818.41666666666663</v>
      </c>
      <c r="C10" s="1">
        <v>9821</v>
      </c>
    </row>
    <row r="11" spans="1:3" ht="15.5">
      <c r="A11" s="2" t="s">
        <v>11</v>
      </c>
      <c r="B11" s="5">
        <f t="shared" si="0"/>
        <v>45285.681666666671</v>
      </c>
      <c r="C11" s="2">
        <f>SUM(C9:C10)</f>
        <v>543428.18000000005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11334.24</v>
      </c>
      <c r="C13" s="1">
        <f>111335.04+24675.84</f>
        <v>136010.88</v>
      </c>
    </row>
    <row r="14" spans="1:3" ht="77.5">
      <c r="A14" s="3" t="s">
        <v>14</v>
      </c>
      <c r="B14" s="5">
        <f t="shared" si="0"/>
        <v>7838.95</v>
      </c>
      <c r="C14" s="1">
        <f>36036.16+58031.24</f>
        <v>94067.4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90.833333333333329</v>
      </c>
      <c r="C16" s="1">
        <v>1090</v>
      </c>
    </row>
    <row r="17" spans="1:3" ht="15.5">
      <c r="A17" s="1" t="s">
        <v>17</v>
      </c>
      <c r="B17" s="5">
        <f t="shared" si="0"/>
        <v>1599.55</v>
      </c>
      <c r="C17" s="1">
        <v>19194.599999999999</v>
      </c>
    </row>
    <row r="18" spans="1:3" ht="15.5">
      <c r="A18" s="1" t="s">
        <v>18</v>
      </c>
      <c r="B18" s="5">
        <f t="shared" si="0"/>
        <v>178.64</v>
      </c>
      <c r="C18" s="1">
        <v>2143.6799999999998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878.7833333333333</v>
      </c>
      <c r="C20" s="1">
        <v>10545.4</v>
      </c>
    </row>
    <row r="21" spans="1:3" ht="15.5">
      <c r="A21" s="1" t="s">
        <v>21</v>
      </c>
      <c r="B21" s="5">
        <f t="shared" si="0"/>
        <v>1168.9991666666667</v>
      </c>
      <c r="C21" s="1">
        <v>14027.99</v>
      </c>
    </row>
    <row r="22" spans="1:3" ht="15.5">
      <c r="A22" s="1" t="s">
        <v>22</v>
      </c>
      <c r="B22" s="5">
        <f t="shared" si="0"/>
        <v>3757.8283333333334</v>
      </c>
      <c r="C22" s="1">
        <v>45093.94</v>
      </c>
    </row>
    <row r="23" spans="1:3" ht="15.5">
      <c r="A23" s="1" t="s">
        <v>23</v>
      </c>
      <c r="B23" s="5">
        <f t="shared" si="0"/>
        <v>571.15750000000003</v>
      </c>
      <c r="C23" s="1">
        <v>6853.89</v>
      </c>
    </row>
    <row r="24" spans="1:3" ht="15.5">
      <c r="A24" s="1" t="s">
        <v>24</v>
      </c>
      <c r="B24" s="5">
        <f t="shared" si="0"/>
        <v>2347.2883333333334</v>
      </c>
      <c r="C24" s="1">
        <v>28167.46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9482.1949999999997</v>
      </c>
      <c r="C27" s="1">
        <v>113786.34</v>
      </c>
    </row>
    <row r="28" spans="1:3" ht="15.5">
      <c r="A28" s="2" t="s">
        <v>28</v>
      </c>
      <c r="B28" s="5">
        <f t="shared" si="0"/>
        <v>39491.33666666667</v>
      </c>
      <c r="C28" s="2">
        <f>SUM(C13:C27)</f>
        <v>473896.04000000004</v>
      </c>
    </row>
    <row r="29" spans="1:3" ht="23.5" customHeight="1">
      <c r="A29" s="2" t="s">
        <v>29</v>
      </c>
      <c r="B29" s="1"/>
      <c r="C29" s="2">
        <v>64976.86</v>
      </c>
    </row>
    <row r="30" spans="1:3" ht="31" customHeight="1">
      <c r="A30" s="2" t="s">
        <v>30</v>
      </c>
      <c r="B30" s="1"/>
      <c r="C30" s="2"/>
    </row>
    <row r="31" spans="1:3" ht="65" customHeight="1">
      <c r="A31" s="3" t="s">
        <v>31</v>
      </c>
      <c r="B31" s="1"/>
      <c r="C31" s="1">
        <v>89872.63</v>
      </c>
    </row>
    <row r="32" spans="1:3" ht="1" customHeight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-24895.77</v>
      </c>
    </row>
    <row r="34" spans="1:3" ht="52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topLeftCell="A34" workbookViewId="0">
      <selection activeCell="A37" sqref="A37"/>
    </sheetView>
  </sheetViews>
  <sheetFormatPr defaultRowHeight="14.5"/>
  <cols>
    <col min="1" max="1" width="41.08984375" customWidth="1"/>
    <col min="2" max="2" width="15.179687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43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4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-105827.5</v>
      </c>
    </row>
    <row r="9" spans="1:3" ht="42.5" customHeight="1">
      <c r="A9" s="3" t="s">
        <v>9</v>
      </c>
      <c r="B9" s="4">
        <f>C9/12</f>
        <v>54902.684166666666</v>
      </c>
      <c r="C9" s="1">
        <v>658832.21</v>
      </c>
    </row>
    <row r="10" spans="1:3" ht="51" customHeight="1">
      <c r="A10" s="3" t="s">
        <v>10</v>
      </c>
      <c r="B10" s="4">
        <f t="shared" ref="B10:B28" si="0">C10/12</f>
        <v>10030.0975</v>
      </c>
      <c r="C10" s="1">
        <f>101762.17+18599</f>
        <v>120361.17</v>
      </c>
    </row>
    <row r="11" spans="1:3" ht="15.5">
      <c r="A11" s="2" t="s">
        <v>11</v>
      </c>
      <c r="B11" s="4">
        <f t="shared" si="0"/>
        <v>64932.781666666669</v>
      </c>
      <c r="C11" s="2">
        <f>SUM(C9:C10)</f>
        <v>779193.38</v>
      </c>
    </row>
    <row r="12" spans="1:3" ht="15.5">
      <c r="A12" s="2" t="s">
        <v>12</v>
      </c>
      <c r="B12" s="4">
        <f t="shared" si="0"/>
        <v>0</v>
      </c>
      <c r="C12" s="1"/>
    </row>
    <row r="13" spans="1:3" ht="74.5" customHeight="1">
      <c r="A13" s="3" t="s">
        <v>13</v>
      </c>
      <c r="B13" s="4">
        <f t="shared" si="0"/>
        <v>16506.568333333333</v>
      </c>
      <c r="C13" s="1">
        <f>162142.26+35936.56</f>
        <v>198078.82</v>
      </c>
    </row>
    <row r="14" spans="1:3" ht="74.5" customHeight="1">
      <c r="A14" s="3" t="s">
        <v>14</v>
      </c>
      <c r="B14" s="4">
        <f t="shared" si="0"/>
        <v>15373.195</v>
      </c>
      <c r="C14" s="1">
        <f>42598.88+141879.46</f>
        <v>184478.34</v>
      </c>
    </row>
    <row r="15" spans="1:3" ht="62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6390.3033333333333</v>
      </c>
      <c r="C16" s="1">
        <v>76683.64</v>
      </c>
    </row>
    <row r="17" spans="1:3" ht="15.5">
      <c r="A17" s="1" t="s">
        <v>17</v>
      </c>
      <c r="B17" s="4">
        <f t="shared" si="0"/>
        <v>2292.91</v>
      </c>
      <c r="C17" s="1">
        <v>27514.92</v>
      </c>
    </row>
    <row r="18" spans="1:3" ht="15.5">
      <c r="A18" s="1" t="s">
        <v>18</v>
      </c>
      <c r="B18" s="4">
        <f t="shared" si="0"/>
        <v>182.82000000000002</v>
      </c>
      <c r="C18" s="1">
        <v>2193.84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1065.5249999999999</v>
      </c>
      <c r="C20" s="1">
        <v>12786.3</v>
      </c>
    </row>
    <row r="21" spans="1:3" ht="15.5">
      <c r="A21" s="1" t="s">
        <v>21</v>
      </c>
      <c r="B21" s="4">
        <f t="shared" si="0"/>
        <v>1664.8541666666667</v>
      </c>
      <c r="C21" s="1">
        <v>19978.25</v>
      </c>
    </row>
    <row r="22" spans="1:3" ht="15.5">
      <c r="A22" s="1" t="s">
        <v>22</v>
      </c>
      <c r="B22" s="4">
        <f t="shared" si="0"/>
        <v>5578.1483333333335</v>
      </c>
      <c r="C22" s="1">
        <v>66937.78</v>
      </c>
    </row>
    <row r="23" spans="1:3" ht="15.5">
      <c r="A23" s="1" t="s">
        <v>23</v>
      </c>
      <c r="B23" s="4">
        <f t="shared" si="0"/>
        <v>670.12</v>
      </c>
      <c r="C23" s="1">
        <v>8041.44</v>
      </c>
    </row>
    <row r="24" spans="1:3" ht="15.5">
      <c r="A24" s="1" t="s">
        <v>24</v>
      </c>
      <c r="B24" s="4">
        <f t="shared" si="0"/>
        <v>3149.6841666666664</v>
      </c>
      <c r="C24" s="1">
        <v>37796.21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14075.439166666665</v>
      </c>
      <c r="C27" s="1">
        <v>168905.27</v>
      </c>
    </row>
    <row r="28" spans="1:3" ht="15.5">
      <c r="A28" s="2" t="s">
        <v>28</v>
      </c>
      <c r="B28" s="4">
        <f t="shared" si="0"/>
        <v>66949.56749999999</v>
      </c>
      <c r="C28" s="2">
        <f>SUM(C13:C27)</f>
        <v>803394.80999999994</v>
      </c>
    </row>
    <row r="29" spans="1:3" ht="15.5">
      <c r="A29" s="2" t="s">
        <v>29</v>
      </c>
      <c r="B29" s="1"/>
      <c r="C29" s="2"/>
    </row>
    <row r="30" spans="1:3" ht="24" customHeight="1">
      <c r="A30" s="2" t="s">
        <v>30</v>
      </c>
      <c r="B30" s="1"/>
      <c r="C30" s="2">
        <v>130028.93</v>
      </c>
    </row>
    <row r="31" spans="1:3" ht="53" customHeight="1">
      <c r="A31" s="3" t="s">
        <v>31</v>
      </c>
      <c r="B31" s="1"/>
      <c r="C31" s="1">
        <v>131134.29999999999</v>
      </c>
    </row>
    <row r="32" spans="1:3" ht="62" hidden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-261163.23</v>
      </c>
    </row>
    <row r="34" spans="1:3" ht="45.5" customHeight="1">
      <c r="A34" s="1" t="s">
        <v>34</v>
      </c>
      <c r="B34" s="1"/>
      <c r="C34" s="1"/>
    </row>
    <row r="35" spans="1:3" ht="24.5" customHeight="1">
      <c r="A35" s="1" t="s">
        <v>35</v>
      </c>
      <c r="B35" s="1"/>
      <c r="C35" s="1"/>
    </row>
    <row r="36" spans="1:3" ht="22.5" customHeight="1">
      <c r="A36" s="1" t="s">
        <v>111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5.08984375" customWidth="1"/>
    <col min="2" max="2" width="17.3632812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104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16861.32</v>
      </c>
    </row>
    <row r="9" spans="1:3" ht="46.5">
      <c r="A9" s="3" t="s">
        <v>9</v>
      </c>
      <c r="B9" s="5">
        <f>C9/12</f>
        <v>44885.558333333327</v>
      </c>
      <c r="C9" s="1">
        <v>538626.69999999995</v>
      </c>
    </row>
    <row r="10" spans="1:3" ht="46.5">
      <c r="A10" s="3" t="s">
        <v>10</v>
      </c>
      <c r="B10" s="5">
        <f t="shared" ref="B10:B28" si="0">C10/12</f>
        <v>366.66666666666669</v>
      </c>
      <c r="C10" s="1">
        <v>4400</v>
      </c>
    </row>
    <row r="11" spans="1:3" ht="15.5">
      <c r="A11" s="2" t="s">
        <v>11</v>
      </c>
      <c r="B11" s="5">
        <f t="shared" si="0"/>
        <v>45252.224999999999</v>
      </c>
      <c r="C11" s="2">
        <f>SUM(C9:C10)</f>
        <v>543026.69999999995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11415.110833333332</v>
      </c>
      <c r="C13" s="1">
        <f>112129.43+24851.9</f>
        <v>136981.32999999999</v>
      </c>
    </row>
    <row r="14" spans="1:3" ht="77.5">
      <c r="A14" s="3" t="s">
        <v>14</v>
      </c>
      <c r="B14" s="5">
        <f t="shared" si="0"/>
        <v>9409.1</v>
      </c>
      <c r="C14" s="1">
        <f>35643.88+77265.32</f>
        <v>112909.20000000001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1367.6366666666665</v>
      </c>
      <c r="C16" s="1">
        <v>16411.64</v>
      </c>
    </row>
    <row r="17" spans="1:3" ht="15.5">
      <c r="A17" s="1" t="s">
        <v>17</v>
      </c>
      <c r="B17" s="5">
        <f t="shared" si="0"/>
        <v>1613.8100000000002</v>
      </c>
      <c r="C17" s="1">
        <v>19365.72</v>
      </c>
    </row>
    <row r="18" spans="1:3" ht="15.5">
      <c r="A18" s="1" t="s">
        <v>18</v>
      </c>
      <c r="B18" s="5">
        <f t="shared" si="0"/>
        <v>179.28</v>
      </c>
      <c r="C18" s="1">
        <v>2151.36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878.7833333333333</v>
      </c>
      <c r="C20" s="1">
        <v>10545.4</v>
      </c>
    </row>
    <row r="21" spans="1:3" ht="15.5">
      <c r="A21" s="1" t="s">
        <v>21</v>
      </c>
      <c r="B21" s="5">
        <f t="shared" si="0"/>
        <v>1173.3416666666667</v>
      </c>
      <c r="C21" s="1">
        <v>14080.1</v>
      </c>
    </row>
    <row r="22" spans="1:3" ht="15.5">
      <c r="A22" s="1" t="s">
        <v>22</v>
      </c>
      <c r="B22" s="5">
        <f t="shared" si="0"/>
        <v>3792.0041666666671</v>
      </c>
      <c r="C22" s="1">
        <v>45504.05</v>
      </c>
    </row>
    <row r="23" spans="1:3" ht="15.5">
      <c r="A23" s="1" t="s">
        <v>23</v>
      </c>
      <c r="B23" s="5">
        <f t="shared" si="0"/>
        <v>514.46249999999998</v>
      </c>
      <c r="C23" s="1">
        <v>6173.55</v>
      </c>
    </row>
    <row r="24" spans="1:3" ht="15.5">
      <c r="A24" s="1" t="s">
        <v>24</v>
      </c>
      <c r="B24" s="5">
        <f t="shared" si="0"/>
        <v>2345.5541666666668</v>
      </c>
      <c r="C24" s="1">
        <v>28146.65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9568.43</v>
      </c>
      <c r="C27" s="1">
        <v>114821.16</v>
      </c>
    </row>
    <row r="28" spans="1:3" ht="15.5">
      <c r="A28" s="2" t="s">
        <v>28</v>
      </c>
      <c r="B28" s="5">
        <f t="shared" si="0"/>
        <v>42500.385000000002</v>
      </c>
      <c r="C28" s="2">
        <f>SUM(C13:C27)</f>
        <v>510004.62</v>
      </c>
    </row>
    <row r="29" spans="1:3" ht="25.5" customHeight="1">
      <c r="A29" s="2" t="s">
        <v>29</v>
      </c>
      <c r="B29" s="1"/>
      <c r="C29" s="2">
        <v>49883.4</v>
      </c>
    </row>
    <row r="30" spans="1:3" ht="30" customHeight="1">
      <c r="A30" s="2" t="s">
        <v>30</v>
      </c>
      <c r="B30" s="1"/>
      <c r="C30" s="2"/>
    </row>
    <row r="31" spans="1:3" ht="31.5" customHeight="1">
      <c r="A31" s="3" t="s">
        <v>31</v>
      </c>
      <c r="B31" s="1"/>
      <c r="C31" s="1">
        <v>57099.25</v>
      </c>
    </row>
    <row r="32" spans="1:3" ht="0.5" customHeight="1">
      <c r="A32" s="3" t="s">
        <v>32</v>
      </c>
      <c r="B32" s="1"/>
      <c r="C32" s="1"/>
    </row>
    <row r="33" spans="1:3" ht="24.5" customHeight="1">
      <c r="A33" s="2" t="s">
        <v>33</v>
      </c>
      <c r="B33" s="2"/>
      <c r="C33" s="2">
        <v>-7215.85</v>
      </c>
    </row>
    <row r="34" spans="1:3" ht="42" customHeight="1">
      <c r="A34" s="1" t="s">
        <v>34</v>
      </c>
      <c r="B34" s="1"/>
      <c r="C34" s="1"/>
    </row>
    <row r="35" spans="1:3" ht="37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9"/>
    </sheetView>
  </sheetViews>
  <sheetFormatPr defaultRowHeight="14.5"/>
  <cols>
    <col min="1" max="1" width="45" customWidth="1"/>
    <col min="2" max="2" width="14.8164062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105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-59254.99</v>
      </c>
    </row>
    <row r="9" spans="1:3" ht="46.5">
      <c r="A9" s="3" t="s">
        <v>9</v>
      </c>
      <c r="B9" s="5">
        <f>C9/12</f>
        <v>43306.690833333334</v>
      </c>
      <c r="C9" s="1">
        <v>519680.29</v>
      </c>
    </row>
    <row r="10" spans="1:3" ht="46.5">
      <c r="A10" s="3" t="s">
        <v>10</v>
      </c>
      <c r="B10" s="5">
        <f t="shared" ref="B10:B28" si="0">C10/12</f>
        <v>1228.7083333333333</v>
      </c>
      <c r="C10" s="1">
        <v>14744.5</v>
      </c>
    </row>
    <row r="11" spans="1:3" ht="15.5">
      <c r="A11" s="2" t="s">
        <v>11</v>
      </c>
      <c r="B11" s="5">
        <f t="shared" si="0"/>
        <v>44535.39916666667</v>
      </c>
      <c r="C11" s="2">
        <f>SUM(C9:C10)</f>
        <v>534424.79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11261.085833333333</v>
      </c>
      <c r="C13" s="1">
        <f>110616.45+24516.58</f>
        <v>135133.03</v>
      </c>
    </row>
    <row r="14" spans="1:3" ht="77.5">
      <c r="A14" s="3" t="s">
        <v>14</v>
      </c>
      <c r="B14" s="5">
        <f t="shared" si="0"/>
        <v>7066.083333333333</v>
      </c>
      <c r="C14" s="1">
        <f>34382.28+50410.72</f>
        <v>84793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2577.4699999999998</v>
      </c>
      <c r="C16" s="1">
        <v>30929.64</v>
      </c>
    </row>
    <row r="17" spans="1:3" ht="15.5">
      <c r="A17" s="1" t="s">
        <v>17</v>
      </c>
      <c r="B17" s="5">
        <f t="shared" si="0"/>
        <v>1595.42</v>
      </c>
      <c r="C17" s="1">
        <v>19145.04</v>
      </c>
    </row>
    <row r="18" spans="1:3" ht="15.5">
      <c r="A18" s="1" t="s">
        <v>18</v>
      </c>
      <c r="B18" s="5">
        <f t="shared" si="0"/>
        <v>179.87</v>
      </c>
      <c r="C18" s="1">
        <v>2158.44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889.76833333333332</v>
      </c>
      <c r="C20" s="1">
        <v>10677.22</v>
      </c>
    </row>
    <row r="21" spans="1:3" ht="15.5">
      <c r="A21" s="1" t="s">
        <v>21</v>
      </c>
      <c r="B21" s="5">
        <f t="shared" si="0"/>
        <v>1157.2066666666667</v>
      </c>
      <c r="C21" s="1">
        <v>13886.48</v>
      </c>
    </row>
    <row r="22" spans="1:3" ht="15.5">
      <c r="A22" s="1" t="s">
        <v>22</v>
      </c>
      <c r="B22" s="5">
        <f t="shared" si="0"/>
        <v>3749.2566666666667</v>
      </c>
      <c r="C22" s="1">
        <v>44991.08</v>
      </c>
    </row>
    <row r="23" spans="1:3" ht="15.5">
      <c r="A23" s="1" t="s">
        <v>23</v>
      </c>
      <c r="B23" s="5">
        <f t="shared" si="0"/>
        <v>548.04416666666668</v>
      </c>
      <c r="C23" s="1">
        <v>6576.53</v>
      </c>
    </row>
    <row r="24" spans="1:3" ht="15.5">
      <c r="A24" s="1" t="s">
        <v>24</v>
      </c>
      <c r="B24" s="5">
        <f t="shared" si="0"/>
        <v>2308.3991666666666</v>
      </c>
      <c r="C24" s="1">
        <v>27700.79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9460.5650000000005</v>
      </c>
      <c r="C27" s="1">
        <v>113526.78</v>
      </c>
    </row>
    <row r="28" spans="1:3" ht="15.5">
      <c r="A28" s="2" t="s">
        <v>28</v>
      </c>
      <c r="B28" s="5">
        <f t="shared" si="0"/>
        <v>41036.040833333333</v>
      </c>
      <c r="C28" s="2">
        <f>SUM(C13:C27)</f>
        <v>492432.49</v>
      </c>
    </row>
    <row r="29" spans="1:3" ht="23" customHeight="1">
      <c r="A29" s="2" t="s">
        <v>29</v>
      </c>
      <c r="B29" s="1"/>
      <c r="C29" s="2"/>
    </row>
    <row r="30" spans="1:3" ht="31" customHeight="1">
      <c r="A30" s="2" t="s">
        <v>30</v>
      </c>
      <c r="B30" s="1"/>
      <c r="C30" s="2">
        <v>17262.689999999999</v>
      </c>
    </row>
    <row r="31" spans="1:3" ht="50.5" customHeight="1">
      <c r="A31" s="3" t="s">
        <v>31</v>
      </c>
      <c r="B31" s="1"/>
      <c r="C31" s="1">
        <v>237394.39</v>
      </c>
    </row>
    <row r="32" spans="1:3" ht="62" hidden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-254657.08</v>
      </c>
    </row>
    <row r="34" spans="1:3" ht="41.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9"/>
    </sheetView>
  </sheetViews>
  <sheetFormatPr defaultRowHeight="14.5"/>
  <cols>
    <col min="1" max="1" width="43.7265625" customWidth="1"/>
    <col min="2" max="2" width="14.1796875" customWidth="1"/>
    <col min="3" max="3" width="13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106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42825.64</v>
      </c>
    </row>
    <row r="9" spans="1:3" ht="46.5">
      <c r="A9" s="3" t="s">
        <v>9</v>
      </c>
      <c r="B9" s="5">
        <f>C9/12</f>
        <v>43506.315000000002</v>
      </c>
      <c r="C9" s="1">
        <v>522075.78</v>
      </c>
    </row>
    <row r="10" spans="1:3" ht="46.5">
      <c r="A10" s="3" t="s">
        <v>10</v>
      </c>
      <c r="B10" s="5">
        <f t="shared" ref="B10:B28" si="0">C10/12</f>
        <v>776.95833333333337</v>
      </c>
      <c r="C10" s="1">
        <v>9323.5</v>
      </c>
    </row>
    <row r="11" spans="1:3" ht="15.5">
      <c r="A11" s="2" t="s">
        <v>11</v>
      </c>
      <c r="B11" s="5">
        <f t="shared" si="0"/>
        <v>44283.273333333338</v>
      </c>
      <c r="C11" s="2">
        <f>SUM(C9:C10)</f>
        <v>531399.28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11353.07</v>
      </c>
      <c r="C13" s="1">
        <f>111520+24716.84</f>
        <v>136236.84</v>
      </c>
    </row>
    <row r="14" spans="1:3" ht="77.5">
      <c r="A14" s="3" t="s">
        <v>14</v>
      </c>
      <c r="B14" s="5">
        <f t="shared" si="0"/>
        <v>6830.6016666666665</v>
      </c>
      <c r="C14" s="1">
        <f>34721.6+47245.62</f>
        <v>81967.22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987.71999999999991</v>
      </c>
      <c r="C16" s="1">
        <v>11852.64</v>
      </c>
    </row>
    <row r="17" spans="1:3" ht="15.5">
      <c r="A17" s="1" t="s">
        <v>17</v>
      </c>
      <c r="B17" s="5">
        <f t="shared" si="0"/>
        <v>1606.99</v>
      </c>
      <c r="C17" s="1">
        <v>19283.88</v>
      </c>
    </row>
    <row r="18" spans="1:3" ht="15.5">
      <c r="A18" s="1" t="s">
        <v>18</v>
      </c>
      <c r="B18" s="5">
        <f t="shared" si="0"/>
        <v>123.2</v>
      </c>
      <c r="C18" s="1">
        <v>1478.4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889.76833333333332</v>
      </c>
      <c r="C20" s="1">
        <v>10677.22</v>
      </c>
    </row>
    <row r="21" spans="1:3" ht="15.5">
      <c r="A21" s="1" t="s">
        <v>21</v>
      </c>
      <c r="B21" s="5">
        <f t="shared" si="0"/>
        <v>1118.0508333333335</v>
      </c>
      <c r="C21" s="1">
        <v>13416.61</v>
      </c>
    </row>
    <row r="22" spans="1:3" ht="15.5">
      <c r="A22" s="1" t="s">
        <v>22</v>
      </c>
      <c r="B22" s="5">
        <f t="shared" si="0"/>
        <v>3779.1458333333335</v>
      </c>
      <c r="C22" s="1">
        <v>45349.75</v>
      </c>
    </row>
    <row r="23" spans="1:3" ht="15.5">
      <c r="A23" s="1" t="s">
        <v>23</v>
      </c>
      <c r="B23" s="5">
        <f t="shared" si="0"/>
        <v>874.98666666666668</v>
      </c>
      <c r="C23" s="1">
        <v>10499.84</v>
      </c>
    </row>
    <row r="24" spans="1:3" ht="15.5">
      <c r="A24" s="1" t="s">
        <v>24</v>
      </c>
      <c r="B24" s="5">
        <f t="shared" si="0"/>
        <v>2295.3308333333334</v>
      </c>
      <c r="C24" s="1">
        <v>27543.97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9535.9850000000006</v>
      </c>
      <c r="C27" s="1">
        <v>114431.82</v>
      </c>
    </row>
    <row r="28" spans="1:3" ht="15.5">
      <c r="A28" s="2" t="s">
        <v>28</v>
      </c>
      <c r="B28" s="5">
        <f t="shared" si="0"/>
        <v>39637.720833333333</v>
      </c>
      <c r="C28" s="2">
        <f>SUM(C13:C27)</f>
        <v>475652.65</v>
      </c>
    </row>
    <row r="29" spans="1:3" ht="33" customHeight="1">
      <c r="A29" s="2" t="s">
        <v>29</v>
      </c>
      <c r="B29" s="1"/>
      <c r="C29" s="2">
        <v>98572.27</v>
      </c>
    </row>
    <row r="30" spans="1:3" ht="23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156622.67000000001</v>
      </c>
    </row>
    <row r="32" spans="1:3" ht="1" customHeight="1">
      <c r="A32" s="3" t="s">
        <v>32</v>
      </c>
      <c r="B32" s="1"/>
      <c r="C32" s="1"/>
    </row>
    <row r="33" spans="1:3" ht="47" customHeight="1">
      <c r="A33" s="2" t="s">
        <v>33</v>
      </c>
      <c r="B33" s="2"/>
      <c r="C33" s="2">
        <v>-58050.400000000001</v>
      </c>
    </row>
    <row r="34" spans="1:3" ht="42.5" customHeight="1">
      <c r="A34" s="1" t="s">
        <v>34</v>
      </c>
      <c r="B34" s="1"/>
      <c r="C34" s="1"/>
    </row>
    <row r="35" spans="1:3" ht="30" customHeight="1">
      <c r="A35" s="1" t="s">
        <v>35</v>
      </c>
      <c r="B35" s="1"/>
      <c r="C35" s="1"/>
    </row>
    <row r="36" spans="1:3" ht="39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4" customWidth="1"/>
    <col min="2" max="2" width="15.0898437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107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27366.78</v>
      </c>
    </row>
    <row r="9" spans="1:3" ht="46.5">
      <c r="A9" s="3" t="s">
        <v>9</v>
      </c>
      <c r="B9" s="5">
        <f>C9/12</f>
        <v>64524.966666666667</v>
      </c>
      <c r="C9" s="1">
        <v>774299.6</v>
      </c>
    </row>
    <row r="10" spans="1:3" ht="46.5">
      <c r="A10" s="3" t="s">
        <v>10</v>
      </c>
      <c r="B10" s="5">
        <f t="shared" ref="B10:B28" si="0">C10/12</f>
        <v>2089.7841666666668</v>
      </c>
      <c r="C10" s="1">
        <f>3411.91+21665.5</f>
        <v>25077.41</v>
      </c>
    </row>
    <row r="11" spans="1:3" ht="15.5">
      <c r="A11" s="2" t="s">
        <v>11</v>
      </c>
      <c r="B11" s="5">
        <f t="shared" si="0"/>
        <v>66614.750833333339</v>
      </c>
      <c r="C11" s="2">
        <f>SUM(C9:C10)</f>
        <v>799377.01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16294.513333333334</v>
      </c>
      <c r="C13" s="1">
        <f>160059.28+35474.88</f>
        <v>195534.16</v>
      </c>
    </row>
    <row r="14" spans="1:3" ht="77.5">
      <c r="A14" s="3" t="s">
        <v>14</v>
      </c>
      <c r="B14" s="5">
        <f t="shared" si="0"/>
        <v>11931.050000000001</v>
      </c>
      <c r="C14" s="1">
        <f>47613.62+95558.98</f>
        <v>143172.6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11150.386666666667</v>
      </c>
      <c r="C16" s="1">
        <v>133804.64000000001</v>
      </c>
    </row>
    <row r="17" spans="1:3" ht="15.5">
      <c r="A17" s="1" t="s">
        <v>17</v>
      </c>
      <c r="B17" s="5">
        <f t="shared" si="0"/>
        <v>2318.5</v>
      </c>
      <c r="C17" s="1">
        <v>27822</v>
      </c>
    </row>
    <row r="18" spans="1:3" ht="15.5">
      <c r="A18" s="1" t="s">
        <v>18</v>
      </c>
      <c r="B18" s="5">
        <f t="shared" si="0"/>
        <v>285.03666666666669</v>
      </c>
      <c r="C18" s="1">
        <v>3420.44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1307.19</v>
      </c>
      <c r="C20" s="1">
        <v>15686.28</v>
      </c>
    </row>
    <row r="21" spans="1:3" ht="15.5">
      <c r="A21" s="1" t="s">
        <v>21</v>
      </c>
      <c r="B21" s="5">
        <f t="shared" si="0"/>
        <v>1783.1341666666667</v>
      </c>
      <c r="C21" s="1">
        <v>21397.61</v>
      </c>
    </row>
    <row r="22" spans="1:3" ht="15.5">
      <c r="A22" s="1" t="s">
        <v>22</v>
      </c>
      <c r="B22" s="5">
        <f t="shared" si="0"/>
        <v>5446.6350000000002</v>
      </c>
      <c r="C22" s="1">
        <v>65359.62</v>
      </c>
    </row>
    <row r="23" spans="1:3" ht="15.5">
      <c r="A23" s="1" t="s">
        <v>23</v>
      </c>
      <c r="B23" s="5">
        <f t="shared" si="0"/>
        <v>815.4708333333333</v>
      </c>
      <c r="C23" s="1">
        <v>9785.65</v>
      </c>
    </row>
    <row r="24" spans="1:3" ht="15.5">
      <c r="A24" s="1" t="s">
        <v>24</v>
      </c>
      <c r="B24" s="5">
        <f t="shared" si="0"/>
        <v>3452.8358333333331</v>
      </c>
      <c r="C24" s="1">
        <v>41434.03</v>
      </c>
    </row>
    <row r="25" spans="1:3" ht="15.5">
      <c r="A25" s="1" t="s">
        <v>25</v>
      </c>
      <c r="B25" s="5">
        <f t="shared" si="0"/>
        <v>284.88</v>
      </c>
      <c r="C25" s="1">
        <v>3418.56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13743.589999999998</v>
      </c>
      <c r="C27" s="1">
        <v>164923.07999999999</v>
      </c>
    </row>
    <row r="28" spans="1:3" ht="20.5" customHeight="1">
      <c r="A28" s="2" t="s">
        <v>28</v>
      </c>
      <c r="B28" s="5">
        <f t="shared" si="0"/>
        <v>68813.222500000018</v>
      </c>
      <c r="C28" s="2">
        <f>SUM(C13:C27)</f>
        <v>825758.67000000016</v>
      </c>
    </row>
    <row r="29" spans="1:3" ht="27" customHeight="1">
      <c r="A29" s="2" t="s">
        <v>29</v>
      </c>
      <c r="B29" s="1"/>
      <c r="C29" s="2">
        <v>985.12</v>
      </c>
    </row>
    <row r="30" spans="1:3" ht="29" customHeight="1">
      <c r="A30" s="2" t="s">
        <v>30</v>
      </c>
      <c r="B30" s="1"/>
      <c r="C30" s="2"/>
    </row>
    <row r="31" spans="1:3" ht="45" customHeight="1">
      <c r="A31" s="3" t="s">
        <v>31</v>
      </c>
      <c r="B31" s="1"/>
      <c r="C31" s="1">
        <v>52552.81</v>
      </c>
    </row>
    <row r="32" spans="1:3" ht="0.5" customHeight="1">
      <c r="A32" s="3" t="s">
        <v>32</v>
      </c>
      <c r="B32" s="1"/>
      <c r="C32" s="1">
        <f>-B30</f>
        <v>0</v>
      </c>
    </row>
    <row r="33" spans="1:3" ht="32.5" customHeight="1">
      <c r="A33" s="2" t="s">
        <v>33</v>
      </c>
      <c r="B33" s="2"/>
      <c r="C33" s="2">
        <v>-51567.69</v>
      </c>
    </row>
    <row r="34" spans="1:3" ht="32" customHeight="1">
      <c r="A34" s="1" t="s">
        <v>34</v>
      </c>
      <c r="B34" s="1"/>
      <c r="C34" s="1"/>
    </row>
    <row r="35" spans="1:3" ht="37.5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38"/>
    </sheetView>
  </sheetViews>
  <sheetFormatPr defaultRowHeight="14.5"/>
  <cols>
    <col min="1" max="1" width="46.36328125" customWidth="1"/>
    <col min="2" max="2" width="17.6328125" customWidth="1"/>
    <col min="3" max="3" width="13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108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-231698.49</v>
      </c>
    </row>
    <row r="9" spans="1:3" ht="46.5">
      <c r="A9" s="3" t="s">
        <v>9</v>
      </c>
      <c r="B9" s="5">
        <f>C9/12</f>
        <v>238386.37916666665</v>
      </c>
      <c r="C9" s="1">
        <v>2860636.55</v>
      </c>
    </row>
    <row r="10" spans="1:3" ht="46.5">
      <c r="A10" s="3" t="s">
        <v>10</v>
      </c>
      <c r="B10" s="5">
        <f t="shared" ref="B10:B28" si="0">C10/12</f>
        <v>24503.117500000004</v>
      </c>
      <c r="C10" s="1">
        <f>193218.41+100819</f>
        <v>294037.41000000003</v>
      </c>
    </row>
    <row r="11" spans="1:3" ht="15.5">
      <c r="A11" s="2" t="s">
        <v>11</v>
      </c>
      <c r="B11" s="5">
        <f t="shared" si="0"/>
        <v>262889.49666666664</v>
      </c>
      <c r="C11" s="2">
        <f>SUM(C9:C10)</f>
        <v>3154673.96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57412.604166666664</v>
      </c>
      <c r="C13" s="1">
        <f>563957.87+124993.38</f>
        <v>688951.25</v>
      </c>
    </row>
    <row r="14" spans="1:3" ht="77.5">
      <c r="A14" s="3" t="s">
        <v>14</v>
      </c>
      <c r="B14" s="5">
        <f t="shared" si="0"/>
        <v>52832.261666666665</v>
      </c>
      <c r="C14" s="1">
        <f>416329.9+217657.24</f>
        <v>633987.14</v>
      </c>
    </row>
    <row r="15" spans="1:3" ht="46.5">
      <c r="A15" s="3" t="s">
        <v>15</v>
      </c>
      <c r="B15" s="5">
        <f t="shared" si="0"/>
        <v>11643.045</v>
      </c>
      <c r="C15" s="1">
        <v>139716.54</v>
      </c>
    </row>
    <row r="16" spans="1:3" ht="15.5">
      <c r="A16" s="1" t="s">
        <v>16</v>
      </c>
      <c r="B16" s="5">
        <f t="shared" si="0"/>
        <v>5648.75</v>
      </c>
      <c r="C16" s="1">
        <v>67785</v>
      </c>
    </row>
    <row r="17" spans="1:3" ht="15.5">
      <c r="A17" s="1" t="s">
        <v>17</v>
      </c>
      <c r="B17" s="5">
        <f t="shared" si="0"/>
        <v>6955.54</v>
      </c>
      <c r="C17" s="1">
        <v>83466.48</v>
      </c>
    </row>
    <row r="18" spans="1:3" ht="15.5">
      <c r="A18" s="1" t="s">
        <v>18</v>
      </c>
      <c r="B18" s="5">
        <f t="shared" si="0"/>
        <v>315.19</v>
      </c>
      <c r="C18" s="1">
        <v>3782.28</v>
      </c>
    </row>
    <row r="19" spans="1:3" ht="15.5">
      <c r="A19" s="1" t="s">
        <v>19</v>
      </c>
      <c r="B19" s="5">
        <f t="shared" si="0"/>
        <v>35581.325000000004</v>
      </c>
      <c r="C19" s="1">
        <v>426975.9</v>
      </c>
    </row>
    <row r="20" spans="1:3" ht="15.5">
      <c r="A20" s="1" t="s">
        <v>20</v>
      </c>
      <c r="B20" s="5">
        <f t="shared" si="0"/>
        <v>2504.5324999999998</v>
      </c>
      <c r="C20" s="1">
        <v>30054.39</v>
      </c>
    </row>
    <row r="21" spans="1:3" ht="15.5">
      <c r="A21" s="1" t="s">
        <v>21</v>
      </c>
      <c r="B21" s="5">
        <f t="shared" si="0"/>
        <v>6874.16</v>
      </c>
      <c r="C21" s="1">
        <v>82489.919999999998</v>
      </c>
    </row>
    <row r="22" spans="1:3" ht="15.5">
      <c r="A22" s="1" t="s">
        <v>22</v>
      </c>
      <c r="B22" s="5">
        <f t="shared" si="0"/>
        <v>16969.499166666665</v>
      </c>
      <c r="C22" s="1">
        <v>203633.99</v>
      </c>
    </row>
    <row r="23" spans="1:3" ht="15.5">
      <c r="A23" s="1" t="s">
        <v>23</v>
      </c>
      <c r="B23" s="5">
        <f t="shared" si="0"/>
        <v>0</v>
      </c>
      <c r="C23" s="1"/>
    </row>
    <row r="24" spans="1:3" ht="15.5">
      <c r="A24" s="1" t="s">
        <v>24</v>
      </c>
      <c r="B24" s="5">
        <f t="shared" si="0"/>
        <v>13626.326666666668</v>
      </c>
      <c r="C24" s="1">
        <v>163515.92000000001</v>
      </c>
    </row>
    <row r="25" spans="1:3" ht="15.5">
      <c r="A25" s="1" t="s">
        <v>25</v>
      </c>
      <c r="B25" s="5">
        <f t="shared" si="0"/>
        <v>0</v>
      </c>
      <c r="C25" s="1"/>
    </row>
    <row r="26" spans="1:3" ht="15.5">
      <c r="A26" s="1" t="s">
        <v>26</v>
      </c>
      <c r="B26" s="5">
        <f t="shared" si="0"/>
        <v>354</v>
      </c>
      <c r="C26" s="1">
        <v>4248</v>
      </c>
    </row>
    <row r="27" spans="1:3" ht="15.5">
      <c r="A27" s="1" t="s">
        <v>27</v>
      </c>
      <c r="B27" s="5">
        <f t="shared" si="0"/>
        <v>42819.435833333329</v>
      </c>
      <c r="C27" s="1">
        <v>513833.23</v>
      </c>
    </row>
    <row r="28" spans="1:3" ht="15.5">
      <c r="A28" s="2" t="s">
        <v>28</v>
      </c>
      <c r="B28" s="5">
        <f t="shared" si="0"/>
        <v>253536.67000000004</v>
      </c>
      <c r="C28" s="2">
        <f>SUM(C13:C27)</f>
        <v>3042440.0400000005</v>
      </c>
    </row>
    <row r="29" spans="1:3" ht="21.5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119464.57</v>
      </c>
    </row>
    <row r="31" spans="1:3" ht="31">
      <c r="A31" s="3" t="s">
        <v>31</v>
      </c>
      <c r="B31" s="1"/>
      <c r="C31" s="1">
        <v>56772.12</v>
      </c>
    </row>
    <row r="32" spans="1:3" ht="62" hidden="1">
      <c r="A32" s="3" t="s">
        <v>32</v>
      </c>
      <c r="B32" s="1"/>
      <c r="C32" s="1"/>
    </row>
    <row r="33" spans="1:3" ht="22" customHeight="1">
      <c r="A33" s="2" t="s">
        <v>33</v>
      </c>
      <c r="B33" s="2"/>
      <c r="C33" s="2">
        <v>-176236.69</v>
      </c>
    </row>
    <row r="34" spans="1:3" ht="39" customHeight="1">
      <c r="A34" s="1" t="s">
        <v>34</v>
      </c>
      <c r="B34" s="1"/>
      <c r="C34" s="1"/>
    </row>
    <row r="35" spans="1:3" ht="34" customHeight="1">
      <c r="A35" s="1" t="s">
        <v>35</v>
      </c>
      <c r="B35" s="1"/>
      <c r="C35" s="1"/>
    </row>
    <row r="36" spans="1:3" ht="40" customHeight="1">
      <c r="A36" s="1" t="s">
        <v>64</v>
      </c>
      <c r="B36" s="1"/>
      <c r="C36" s="1"/>
    </row>
    <row r="37" spans="1:3" ht="30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D34" sqref="D34"/>
    </sheetView>
  </sheetViews>
  <sheetFormatPr defaultRowHeight="14.5"/>
  <cols>
    <col min="1" max="1" width="47.453125" customWidth="1"/>
    <col min="2" max="2" width="16" customWidth="1"/>
    <col min="3" max="3" width="14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109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-84065.27</v>
      </c>
    </row>
    <row r="9" spans="1:3" ht="31" customHeight="1">
      <c r="A9" s="3" t="s">
        <v>9</v>
      </c>
      <c r="B9" s="5">
        <f>C9/12</f>
        <v>99180.258333333346</v>
      </c>
      <c r="C9" s="1">
        <v>1190163.1000000001</v>
      </c>
    </row>
    <row r="10" spans="1:3" ht="46.5" customHeight="1">
      <c r="A10" s="3" t="s">
        <v>10</v>
      </c>
      <c r="B10" s="5">
        <f t="shared" ref="B10:B28" si="0">C10/12</f>
        <v>3102.25</v>
      </c>
      <c r="C10" s="1">
        <v>37227</v>
      </c>
    </row>
    <row r="11" spans="1:3" ht="15.5">
      <c r="A11" s="2" t="s">
        <v>11</v>
      </c>
      <c r="B11" s="5">
        <f t="shared" si="0"/>
        <v>102282.50833333335</v>
      </c>
      <c r="C11" s="2">
        <f>SUM(C9:C10)</f>
        <v>1227390.1000000001</v>
      </c>
    </row>
    <row r="12" spans="1:3" ht="15.5">
      <c r="A12" s="2" t="s">
        <v>12</v>
      </c>
      <c r="B12" s="5">
        <f t="shared" si="0"/>
        <v>0</v>
      </c>
      <c r="C12" s="1"/>
    </row>
    <row r="13" spans="1:3" ht="79.5" customHeight="1">
      <c r="A13" s="3" t="s">
        <v>13</v>
      </c>
      <c r="B13" s="5">
        <f t="shared" si="0"/>
        <v>20210.259999999998</v>
      </c>
      <c r="C13" s="1">
        <f>198523.24+43999.88</f>
        <v>242523.12</v>
      </c>
    </row>
    <row r="14" spans="1:3" ht="77.5">
      <c r="A14" s="3" t="s">
        <v>14</v>
      </c>
      <c r="B14" s="5">
        <f t="shared" si="0"/>
        <v>12487.156666666668</v>
      </c>
      <c r="C14" s="1">
        <f>66824.4+83021.48</f>
        <v>149845.88</v>
      </c>
    </row>
    <row r="15" spans="1:3" ht="47.5" customHeight="1">
      <c r="A15" s="3" t="s">
        <v>15</v>
      </c>
      <c r="B15" s="5">
        <f t="shared" si="0"/>
        <v>7457.6366666666663</v>
      </c>
      <c r="C15" s="1">
        <v>89491.64</v>
      </c>
    </row>
    <row r="16" spans="1:3" ht="15.5">
      <c r="A16" s="1" t="s">
        <v>16</v>
      </c>
      <c r="B16" s="5">
        <f t="shared" si="0"/>
        <v>10189.833333333334</v>
      </c>
      <c r="C16" s="1">
        <v>122278</v>
      </c>
    </row>
    <row r="17" spans="1:3" ht="15.5">
      <c r="A17" s="1" t="s">
        <v>17</v>
      </c>
      <c r="B17" s="5">
        <f t="shared" si="0"/>
        <v>2840.2999999999997</v>
      </c>
      <c r="C17" s="1">
        <v>34083.599999999999</v>
      </c>
    </row>
    <row r="18" spans="1:3" ht="15.5">
      <c r="A18" s="1" t="s">
        <v>18</v>
      </c>
      <c r="B18" s="5">
        <f t="shared" si="0"/>
        <v>210.61</v>
      </c>
      <c r="C18" s="1">
        <v>2527.3200000000002</v>
      </c>
    </row>
    <row r="19" spans="1:3" ht="15.5">
      <c r="A19" s="1" t="s">
        <v>19</v>
      </c>
      <c r="B19" s="5">
        <f t="shared" si="0"/>
        <v>13237.38</v>
      </c>
      <c r="C19" s="1">
        <v>158848.56</v>
      </c>
    </row>
    <row r="20" spans="1:3" ht="15.5">
      <c r="A20" s="1" t="s">
        <v>20</v>
      </c>
      <c r="B20" s="5">
        <f t="shared" si="0"/>
        <v>1098.4791666666667</v>
      </c>
      <c r="C20" s="1">
        <v>13181.75</v>
      </c>
    </row>
    <row r="21" spans="1:3" ht="15.5">
      <c r="A21" s="1" t="s">
        <v>21</v>
      </c>
      <c r="B21" s="5">
        <f t="shared" si="0"/>
        <v>2679.9533333333334</v>
      </c>
      <c r="C21" s="1">
        <v>32159.439999999999</v>
      </c>
    </row>
    <row r="22" spans="1:3" ht="15.5">
      <c r="A22" s="1" t="s">
        <v>22</v>
      </c>
      <c r="B22" s="5">
        <f t="shared" si="0"/>
        <v>6705.5983333333324</v>
      </c>
      <c r="C22" s="1">
        <v>80467.179999999993</v>
      </c>
    </row>
    <row r="23" spans="1:3" ht="15.5">
      <c r="A23" s="1" t="s">
        <v>23</v>
      </c>
      <c r="B23" s="5">
        <f t="shared" si="0"/>
        <v>74.626666666666665</v>
      </c>
      <c r="C23" s="1">
        <v>895.52</v>
      </c>
    </row>
    <row r="24" spans="1:3" ht="15.5">
      <c r="A24" s="1" t="s">
        <v>24</v>
      </c>
      <c r="B24" s="5">
        <f t="shared" si="0"/>
        <v>5301.5999999999995</v>
      </c>
      <c r="C24" s="1">
        <v>63619.199999999997</v>
      </c>
    </row>
    <row r="25" spans="1:3" ht="15.5">
      <c r="A25" s="1" t="s">
        <v>25</v>
      </c>
      <c r="B25" s="5">
        <f t="shared" si="0"/>
        <v>202.88250000000002</v>
      </c>
      <c r="C25" s="1">
        <v>2434.59</v>
      </c>
    </row>
    <row r="26" spans="1:3" ht="15.5">
      <c r="A26" s="1" t="s">
        <v>26</v>
      </c>
      <c r="B26" s="5">
        <f t="shared" si="0"/>
        <v>3009</v>
      </c>
      <c r="C26" s="1">
        <v>36108</v>
      </c>
    </row>
    <row r="27" spans="1:3" ht="15.5">
      <c r="A27" s="1" t="s">
        <v>27</v>
      </c>
      <c r="B27" s="5">
        <f t="shared" si="0"/>
        <v>16920.354166666668</v>
      </c>
      <c r="C27" s="1">
        <v>203044.25</v>
      </c>
    </row>
    <row r="28" spans="1:3" ht="15.5">
      <c r="A28" s="2" t="s">
        <v>28</v>
      </c>
      <c r="B28" s="5">
        <f t="shared" si="0"/>
        <v>102625.67083333332</v>
      </c>
      <c r="C28" s="2">
        <f>SUM(C13:C27)</f>
        <v>1231508.0499999998</v>
      </c>
    </row>
    <row r="29" spans="1:3" ht="25" customHeight="1">
      <c r="A29" s="2" t="s">
        <v>29</v>
      </c>
      <c r="B29" s="1"/>
      <c r="C29" s="2"/>
    </row>
    <row r="30" spans="1:3" ht="25" customHeight="1">
      <c r="A30" s="2" t="s">
        <v>30</v>
      </c>
      <c r="B30" s="1"/>
      <c r="C30" s="2">
        <v>88183.22</v>
      </c>
    </row>
    <row r="31" spans="1:3" ht="46.5" customHeight="1">
      <c r="A31" s="3" t="s">
        <v>31</v>
      </c>
      <c r="B31" s="1"/>
      <c r="C31" s="1">
        <v>188570.59</v>
      </c>
    </row>
    <row r="32" spans="1:3" ht="0.5" customHeight="1">
      <c r="A32" s="3" t="s">
        <v>32</v>
      </c>
      <c r="B32" s="1"/>
      <c r="C32" s="1"/>
    </row>
    <row r="33" spans="1:3" ht="25" customHeight="1">
      <c r="A33" s="2" t="s">
        <v>33</v>
      </c>
      <c r="B33" s="2"/>
      <c r="C33" s="2">
        <v>-276753.81</v>
      </c>
    </row>
    <row r="34" spans="1:3" ht="36.5" customHeight="1">
      <c r="A34" s="1" t="s">
        <v>34</v>
      </c>
      <c r="B34" s="1"/>
      <c r="C34" s="1"/>
    </row>
    <row r="35" spans="1:3" ht="24.5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8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A37" sqref="A37"/>
    </sheetView>
  </sheetViews>
  <sheetFormatPr defaultRowHeight="14.5"/>
  <cols>
    <col min="1" max="1" width="43.81640625" customWidth="1"/>
    <col min="2" max="2" width="15.36328125" customWidth="1"/>
    <col min="3" max="3" width="15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44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-29185.29</v>
      </c>
    </row>
    <row r="9" spans="1:3" ht="47.5" customHeight="1">
      <c r="A9" s="3" t="s">
        <v>9</v>
      </c>
      <c r="B9" s="4">
        <f>C9/12</f>
        <v>43245.950833333329</v>
      </c>
      <c r="C9" s="1">
        <v>518951.41</v>
      </c>
    </row>
    <row r="10" spans="1:3" ht="49" customHeight="1">
      <c r="A10" s="3" t="s">
        <v>10</v>
      </c>
      <c r="B10" s="4">
        <f t="shared" ref="B10:B28" si="0">C10/12</f>
        <v>1508.4583333333333</v>
      </c>
      <c r="C10" s="1">
        <v>18101.5</v>
      </c>
    </row>
    <row r="11" spans="1:3" ht="15.5">
      <c r="A11" s="2" t="s">
        <v>11</v>
      </c>
      <c r="B11" s="4">
        <f t="shared" si="0"/>
        <v>44754.409166666657</v>
      </c>
      <c r="C11" s="2">
        <f>SUM(C9:C10)</f>
        <v>537052.90999999992</v>
      </c>
    </row>
    <row r="12" spans="1:3" ht="15.5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11543.515833333333</v>
      </c>
      <c r="C13" s="1">
        <f>113390.73+25131.46</f>
        <v>138522.19</v>
      </c>
    </row>
    <row r="14" spans="1:3" ht="77.5" customHeight="1">
      <c r="A14" s="3" t="s">
        <v>14</v>
      </c>
      <c r="B14" s="4">
        <f t="shared" si="0"/>
        <v>10673.001666666667</v>
      </c>
      <c r="C14" s="1">
        <f>47984.64+80091.38</f>
        <v>128076.02</v>
      </c>
    </row>
    <row r="15" spans="1:3" ht="58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6835.3033333333333</v>
      </c>
      <c r="C16" s="1">
        <v>82023.64</v>
      </c>
    </row>
    <row r="17" spans="1:3" ht="15.5">
      <c r="A17" s="1" t="s">
        <v>17</v>
      </c>
      <c r="B17" s="4">
        <f t="shared" si="0"/>
        <v>1577.86</v>
      </c>
      <c r="C17" s="1">
        <v>18934.32</v>
      </c>
    </row>
    <row r="18" spans="1:3" ht="15.5">
      <c r="A18" s="1" t="s">
        <v>18</v>
      </c>
      <c r="B18" s="4">
        <f t="shared" si="0"/>
        <v>165.60999999999999</v>
      </c>
      <c r="C18" s="1">
        <v>1987.32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1318.175</v>
      </c>
      <c r="C20" s="1">
        <v>15818.1</v>
      </c>
    </row>
    <row r="21" spans="1:3" ht="15.5">
      <c r="A21" s="1" t="s">
        <v>21</v>
      </c>
      <c r="B21" s="4">
        <f t="shared" si="0"/>
        <v>1186.1758333333335</v>
      </c>
      <c r="C21" s="1">
        <v>14234.11</v>
      </c>
    </row>
    <row r="22" spans="1:3" ht="15.5">
      <c r="A22" s="1" t="s">
        <v>22</v>
      </c>
      <c r="B22" s="4">
        <f t="shared" si="0"/>
        <v>3707.6366666666668</v>
      </c>
      <c r="C22" s="1">
        <v>44491.64</v>
      </c>
    </row>
    <row r="23" spans="1:3" ht="15.5">
      <c r="A23" s="1" t="s">
        <v>23</v>
      </c>
      <c r="B23" s="4">
        <f t="shared" si="0"/>
        <v>779.35500000000002</v>
      </c>
      <c r="C23" s="1">
        <v>9352.26</v>
      </c>
    </row>
    <row r="24" spans="1:3" ht="15.5">
      <c r="A24" s="1" t="s">
        <v>24</v>
      </c>
      <c r="B24" s="4">
        <f t="shared" si="0"/>
        <v>2319.750833333333</v>
      </c>
      <c r="C24" s="1">
        <v>27837.01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9355.5450000000001</v>
      </c>
      <c r="C27" s="1">
        <v>112266.54</v>
      </c>
    </row>
    <row r="28" spans="1:3" ht="15.5">
      <c r="A28" s="2" t="s">
        <v>28</v>
      </c>
      <c r="B28" s="4">
        <f t="shared" si="0"/>
        <v>49461.929166666669</v>
      </c>
      <c r="C28" s="2">
        <f>SUM(C13:C27)</f>
        <v>593543.15</v>
      </c>
    </row>
    <row r="29" spans="1:3" ht="15.5">
      <c r="A29" s="2" t="s">
        <v>29</v>
      </c>
      <c r="B29" s="1"/>
      <c r="C29" s="2"/>
    </row>
    <row r="30" spans="1:3" ht="15.5">
      <c r="A30" s="2" t="s">
        <v>30</v>
      </c>
      <c r="B30" s="1"/>
      <c r="C30" s="2">
        <v>85675.53</v>
      </c>
    </row>
    <row r="31" spans="1:3" ht="35.5" customHeight="1">
      <c r="A31" s="3" t="s">
        <v>31</v>
      </c>
      <c r="B31" s="1"/>
      <c r="C31" s="1">
        <v>136499.20000000001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-222174.73</v>
      </c>
    </row>
    <row r="34" spans="1:3" ht="33.5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5.5" customHeight="1">
      <c r="A36" s="1" t="s">
        <v>112</v>
      </c>
      <c r="B36" s="1"/>
      <c r="C36" s="1"/>
    </row>
    <row r="37" spans="1:3" ht="22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topLeftCell="A24" workbookViewId="0">
      <selection activeCell="A37" sqref="A37"/>
    </sheetView>
  </sheetViews>
  <sheetFormatPr defaultRowHeight="14.5"/>
  <cols>
    <col min="1" max="1" width="39.81640625" customWidth="1"/>
    <col min="2" max="2" width="14.54296875" customWidth="1"/>
    <col min="3" max="3" width="15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45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8330.59</v>
      </c>
    </row>
    <row r="9" spans="1:3" ht="46.5">
      <c r="A9" s="3" t="s">
        <v>9</v>
      </c>
      <c r="B9" s="4">
        <f>C9/12</f>
        <v>43261.584999999999</v>
      </c>
      <c r="C9" s="1">
        <v>519139.02</v>
      </c>
    </row>
    <row r="10" spans="1:3" ht="47.5" customHeight="1">
      <c r="A10" s="3" t="s">
        <v>10</v>
      </c>
      <c r="B10" s="4">
        <f t="shared" ref="B10:B28" si="0">C10/12</f>
        <v>1098.1666666666667</v>
      </c>
      <c r="C10" s="1">
        <v>13178</v>
      </c>
    </row>
    <row r="11" spans="1:3" ht="15.5">
      <c r="A11" s="2" t="s">
        <v>11</v>
      </c>
      <c r="B11" s="4">
        <f t="shared" si="0"/>
        <v>44359.751666666671</v>
      </c>
      <c r="C11" s="2">
        <f>SUM(C9:C10)</f>
        <v>532317.02</v>
      </c>
    </row>
    <row r="12" spans="1:3" ht="15.5">
      <c r="A12" s="2" t="s">
        <v>12</v>
      </c>
      <c r="B12" s="4">
        <f t="shared" si="0"/>
        <v>0</v>
      </c>
      <c r="C12" s="1"/>
    </row>
    <row r="13" spans="1:3" ht="75" customHeight="1">
      <c r="A13" s="3" t="s">
        <v>13</v>
      </c>
      <c r="B13" s="4">
        <f t="shared" si="0"/>
        <v>11616.980000000001</v>
      </c>
      <c r="C13" s="1">
        <f>114112.36+25291.4</f>
        <v>139403.76</v>
      </c>
    </row>
    <row r="14" spans="1:3" ht="74" customHeight="1">
      <c r="A14" s="3" t="s">
        <v>14</v>
      </c>
      <c r="B14" s="4">
        <f t="shared" si="0"/>
        <v>8507.211666666668</v>
      </c>
      <c r="C14" s="1">
        <f>50030.8+52055.74</f>
        <v>102086.54000000001</v>
      </c>
    </row>
    <row r="15" spans="1:3" ht="60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11517.720000000001</v>
      </c>
      <c r="C16" s="1">
        <v>138212.64000000001</v>
      </c>
    </row>
    <row r="17" spans="1:3" ht="15.5">
      <c r="A17" s="1" t="s">
        <v>17</v>
      </c>
      <c r="B17" s="4">
        <f t="shared" si="0"/>
        <v>1575.5</v>
      </c>
      <c r="C17" s="1">
        <v>18906</v>
      </c>
    </row>
    <row r="18" spans="1:3" ht="15.5">
      <c r="A18" s="1" t="s">
        <v>18</v>
      </c>
      <c r="B18" s="4">
        <f t="shared" si="0"/>
        <v>289.98</v>
      </c>
      <c r="C18" s="1">
        <v>3479.76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1318.175</v>
      </c>
      <c r="C20" s="1">
        <v>15818.1</v>
      </c>
    </row>
    <row r="21" spans="1:3" ht="15.5">
      <c r="A21" s="1" t="s">
        <v>21</v>
      </c>
      <c r="B21" s="4">
        <f t="shared" si="0"/>
        <v>1164.4558333333332</v>
      </c>
      <c r="C21" s="1">
        <v>13973.47</v>
      </c>
    </row>
    <row r="22" spans="1:3" ht="15.5">
      <c r="A22" s="1" t="s">
        <v>22</v>
      </c>
      <c r="B22" s="4">
        <f t="shared" si="0"/>
        <v>3712.7125000000001</v>
      </c>
      <c r="C22" s="1">
        <v>44552.55</v>
      </c>
    </row>
    <row r="23" spans="1:3" ht="15.5">
      <c r="A23" s="1" t="s">
        <v>23</v>
      </c>
      <c r="B23" s="4">
        <f t="shared" si="0"/>
        <v>820.60666666666668</v>
      </c>
      <c r="C23" s="1">
        <v>9847.2800000000007</v>
      </c>
    </row>
    <row r="24" spans="1:3" ht="15.5">
      <c r="A24" s="1" t="s">
        <v>24</v>
      </c>
      <c r="B24" s="4">
        <f t="shared" si="0"/>
        <v>2299.2950000000001</v>
      </c>
      <c r="C24" s="1">
        <v>27591.54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9368.3524999999991</v>
      </c>
      <c r="C27" s="1">
        <v>112420.23</v>
      </c>
    </row>
    <row r="28" spans="1:3" ht="15.5">
      <c r="A28" s="2" t="s">
        <v>28</v>
      </c>
      <c r="B28" s="4">
        <f t="shared" si="0"/>
        <v>52190.989166666666</v>
      </c>
      <c r="C28" s="2">
        <f>SUM(C13:C27)</f>
        <v>626291.87</v>
      </c>
    </row>
    <row r="29" spans="1:3" ht="15.5">
      <c r="A29" s="2" t="s">
        <v>29</v>
      </c>
      <c r="B29" s="1"/>
      <c r="C29" s="2"/>
    </row>
    <row r="30" spans="1:3" ht="24.5" customHeight="1">
      <c r="A30" s="2" t="s">
        <v>30</v>
      </c>
      <c r="B30" s="1"/>
      <c r="C30" s="2">
        <v>85644.26</v>
      </c>
    </row>
    <row r="31" spans="1:3" ht="31">
      <c r="A31" s="3" t="s">
        <v>31</v>
      </c>
      <c r="B31" s="1"/>
      <c r="C31" s="1">
        <v>179722.92</v>
      </c>
    </row>
    <row r="32" spans="1:3" ht="62" hidden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-265367.18</v>
      </c>
    </row>
    <row r="34" spans="1:3" ht="32.5" customHeight="1">
      <c r="A34" s="1" t="s">
        <v>34</v>
      </c>
      <c r="B34" s="1"/>
      <c r="C34" s="1"/>
    </row>
    <row r="35" spans="1:3" ht="29.5" customHeight="1">
      <c r="A35" s="1" t="s">
        <v>35</v>
      </c>
      <c r="B35" s="1"/>
      <c r="C35" s="1"/>
    </row>
    <row r="36" spans="1:3" ht="23.5" customHeight="1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7" sqref="A37"/>
    </sheetView>
  </sheetViews>
  <sheetFormatPr defaultRowHeight="14.5"/>
  <cols>
    <col min="1" max="1" width="40.453125" customWidth="1"/>
    <col min="2" max="2" width="17.36328125" customWidth="1"/>
    <col min="3" max="3" width="17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46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7357.25</v>
      </c>
    </row>
    <row r="9" spans="1:3" ht="46" customHeight="1">
      <c r="A9" s="3" t="s">
        <v>9</v>
      </c>
      <c r="B9" s="4">
        <f>C9/12</f>
        <v>61134.993333333339</v>
      </c>
      <c r="C9" s="1">
        <v>733619.92</v>
      </c>
    </row>
    <row r="10" spans="1:3" ht="49" customHeight="1">
      <c r="A10" s="3" t="s">
        <v>10</v>
      </c>
      <c r="B10" s="4">
        <f t="shared" ref="B10:B28" si="0">C10/12</f>
        <v>2111.2916666666665</v>
      </c>
      <c r="C10" s="1">
        <v>25335.5</v>
      </c>
    </row>
    <row r="11" spans="1:3" ht="15.5">
      <c r="A11" s="2" t="s">
        <v>11</v>
      </c>
      <c r="B11" s="4">
        <f t="shared" si="0"/>
        <v>63246.285000000003</v>
      </c>
      <c r="C11" s="2">
        <f>SUM(C9:C10)</f>
        <v>758955.42</v>
      </c>
    </row>
    <row r="12" spans="1:3" ht="15.5">
      <c r="A12" s="2" t="s">
        <v>12</v>
      </c>
      <c r="B12" s="4">
        <f t="shared" si="0"/>
        <v>0</v>
      </c>
      <c r="C12" s="1"/>
    </row>
    <row r="13" spans="1:3" ht="83" customHeight="1">
      <c r="A13" s="3" t="s">
        <v>13</v>
      </c>
      <c r="B13" s="4">
        <f t="shared" si="0"/>
        <v>15658.350833333332</v>
      </c>
      <c r="C13" s="1">
        <f>153810.31+34089.9</f>
        <v>187900.21</v>
      </c>
    </row>
    <row r="14" spans="1:3" ht="81.5" customHeight="1">
      <c r="A14" s="3" t="s">
        <v>14</v>
      </c>
      <c r="B14" s="4">
        <f t="shared" si="0"/>
        <v>15241.300000000001</v>
      </c>
      <c r="C14" s="1">
        <f>47390.94+135504.66</f>
        <v>182895.6</v>
      </c>
    </row>
    <row r="15" spans="1:3" ht="61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2125.4699999999998</v>
      </c>
      <c r="C16" s="1">
        <v>25505.64</v>
      </c>
    </row>
    <row r="17" spans="1:3" ht="15.5">
      <c r="A17" s="1" t="s">
        <v>17</v>
      </c>
      <c r="B17" s="4">
        <f t="shared" si="0"/>
        <v>2220.4299999999998</v>
      </c>
      <c r="C17" s="1">
        <v>26645.16</v>
      </c>
    </row>
    <row r="18" spans="1:3" ht="15.5">
      <c r="A18" s="1" t="s">
        <v>18</v>
      </c>
      <c r="B18" s="4">
        <f t="shared" si="0"/>
        <v>208.49</v>
      </c>
      <c r="C18" s="1">
        <v>2501.88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1087.4941666666666</v>
      </c>
      <c r="C20" s="1">
        <v>13049.93</v>
      </c>
    </row>
    <row r="21" spans="1:3" ht="15.5">
      <c r="A21" s="1" t="s">
        <v>21</v>
      </c>
      <c r="B21" s="4">
        <f t="shared" si="0"/>
        <v>1685.8908333333331</v>
      </c>
      <c r="C21" s="1">
        <v>20230.689999999999</v>
      </c>
    </row>
    <row r="22" spans="1:3" ht="15.5">
      <c r="A22" s="1" t="s">
        <v>22</v>
      </c>
      <c r="B22" s="4">
        <f t="shared" si="0"/>
        <v>5218.4608333333335</v>
      </c>
      <c r="C22" s="1">
        <v>62621.53</v>
      </c>
    </row>
    <row r="23" spans="1:3" ht="15.5">
      <c r="A23" s="1" t="s">
        <v>23</v>
      </c>
      <c r="B23" s="4">
        <f t="shared" si="0"/>
        <v>669.68500000000006</v>
      </c>
      <c r="C23" s="1">
        <v>8036.22</v>
      </c>
    </row>
    <row r="24" spans="1:3" ht="15.5">
      <c r="A24" s="1" t="s">
        <v>24</v>
      </c>
      <c r="B24" s="4">
        <f t="shared" si="0"/>
        <v>3278.2391666666667</v>
      </c>
      <c r="C24" s="1">
        <v>39338.870000000003</v>
      </c>
    </row>
    <row r="25" spans="1:3" ht="15.5">
      <c r="A25" s="1" t="s">
        <v>25</v>
      </c>
      <c r="B25" s="4">
        <f t="shared" si="0"/>
        <v>317.28000000000003</v>
      </c>
      <c r="C25" s="1">
        <v>3807.36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13167.833333333334</v>
      </c>
      <c r="C27" s="1">
        <v>158014</v>
      </c>
    </row>
    <row r="28" spans="1:3" ht="15.5">
      <c r="A28" s="2" t="s">
        <v>28</v>
      </c>
      <c r="B28" s="4">
        <f t="shared" si="0"/>
        <v>60878.924166666664</v>
      </c>
      <c r="C28" s="2">
        <f>SUM(C13:C27)</f>
        <v>730547.09</v>
      </c>
    </row>
    <row r="29" spans="1:3" ht="19.5" customHeight="1">
      <c r="A29" s="2" t="s">
        <v>29</v>
      </c>
      <c r="B29" s="1"/>
      <c r="C29" s="2">
        <v>35765.58</v>
      </c>
    </row>
    <row r="30" spans="1:3" ht="30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134008.14000000001</v>
      </c>
    </row>
    <row r="32" spans="1:3" ht="62" hidden="1">
      <c r="A32" s="3" t="s">
        <v>32</v>
      </c>
      <c r="B32" s="1"/>
      <c r="C32" s="1"/>
    </row>
    <row r="33" spans="1:3" ht="27.5" customHeight="1">
      <c r="A33" s="2" t="s">
        <v>33</v>
      </c>
      <c r="B33" s="2"/>
      <c r="C33" s="2">
        <v>-98242.559999999998</v>
      </c>
    </row>
    <row r="34" spans="1:3" ht="43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26.5" customHeight="1">
      <c r="A36" s="1" t="s">
        <v>110</v>
      </c>
      <c r="B36" s="1"/>
      <c r="C36" s="1"/>
    </row>
    <row r="37" spans="1:3" ht="2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65</vt:i4>
      </vt:variant>
    </vt:vector>
  </HeadingPairs>
  <TitlesOfParts>
    <vt:vector size="65" baseType="lpstr">
      <vt:lpstr>Вор.24</vt:lpstr>
      <vt:lpstr>Вор.46</vt:lpstr>
      <vt:lpstr>Вор.26</vt:lpstr>
      <vt:lpstr>Вор.28</vt:lpstr>
      <vt:lpstr>Вор.34</vt:lpstr>
      <vt:lpstr>Вор.38</vt:lpstr>
      <vt:lpstr>Вор.40</vt:lpstr>
      <vt:lpstr>Вор.42</vt:lpstr>
      <vt:lpstr>Вор.44</vt:lpstr>
      <vt:lpstr>Дом.43</vt:lpstr>
      <vt:lpstr>Дом.45</vt:lpstr>
      <vt:lpstr>Дом.55</vt:lpstr>
      <vt:lpstr>Дом.57</vt:lpstr>
      <vt:lpstr>Марш.18</vt:lpstr>
      <vt:lpstr>Марш.11</vt:lpstr>
      <vt:lpstr>Крив.70</vt:lpstr>
      <vt:lpstr>Крив68</vt:lpstr>
      <vt:lpstr>Г.Сиб.105</vt:lpstr>
      <vt:lpstr>Г.Сиб.103</vt:lpstr>
      <vt:lpstr>Г.Сиб.101</vt:lpstr>
      <vt:lpstr>Г.Сиб.99</vt:lpstr>
      <vt:lpstr>Г.Сиб.89</vt:lpstr>
      <vt:lpstr>Г.Сиб.87</vt:lpstr>
      <vt:lpstr>Ю.Янон.24</vt:lpstr>
      <vt:lpstr>Ю.Янон.15</vt:lpstr>
      <vt:lpstr>Ю.Янон.14а</vt:lpstr>
      <vt:lpstr>Ю.Янон.12а</vt:lpstr>
      <vt:lpstr>Ю.Ян.10,2</vt:lpstr>
      <vt:lpstr>Ю.Янон.10,1</vt:lpstr>
      <vt:lpstr>Ю.Янон.8,2</vt:lpstr>
      <vt:lpstr>Ю.Янон.8,1</vt:lpstr>
      <vt:lpstr>Дом.15</vt:lpstr>
      <vt:lpstr>Дом.17</vt:lpstr>
      <vt:lpstr>Дом.19</vt:lpstr>
      <vt:lpstr>Дом.25</vt:lpstr>
      <vt:lpstr>Дом.31</vt:lpstr>
      <vt:lpstr>Дом.33</vt:lpstr>
      <vt:lpstr>Дом.35</vt:lpstr>
      <vt:lpstr>Дом.37</vt:lpstr>
      <vt:lpstr>Дом.59</vt:lpstr>
      <vt:lpstr>Дом.61</vt:lpstr>
      <vt:lpstr>Дом.63</vt:lpstr>
      <vt:lpstr>Дом.75</vt:lpstr>
      <vt:lpstr>Дом.77</vt:lpstr>
      <vt:lpstr>Дом.79</vt:lpstr>
      <vt:lpstr>Б.П.1</vt:lpstr>
      <vt:lpstr>Б.П.3</vt:lpstr>
      <vt:lpstr>Б.П.5</vt:lpstr>
      <vt:lpstr>Б.П.15</vt:lpstr>
      <vt:lpstr>Б.П.21</vt:lpstr>
      <vt:lpstr>Б.П.25</vt:lpstr>
      <vt:lpstr>Б.П.27</vt:lpstr>
      <vt:lpstr>Косм.18</vt:lpstr>
      <vt:lpstr>Косм.22</vt:lpstr>
      <vt:lpstr>Косм.22а</vt:lpstr>
      <vt:lpstr>Косм.24</vt:lpstr>
      <vt:lpstr>Косм.26</vt:lpstr>
      <vt:lpstr>Косм.28</vt:lpstr>
      <vt:lpstr>Косм.30</vt:lpstr>
      <vt:lpstr>Косм.48</vt:lpstr>
      <vt:lpstr>Косм.50</vt:lpstr>
      <vt:lpstr>Косм.52</vt:lpstr>
      <vt:lpstr>Косм.56</vt:lpstr>
      <vt:lpstr>Косм.60</vt:lpstr>
      <vt:lpstr>Косм.62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2016-03-28T13:10:09Z</dcterms:modified>
</cp:coreProperties>
</file>