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57" activeTab="61"/>
  </bookViews>
  <sheets>
    <sheet name="Б.П.27" sheetId="1" r:id="rId1"/>
    <sheet name="Б.П.25" sheetId="2" r:id="rId2"/>
    <sheet name="Б.П.21" sheetId="3" r:id="rId3"/>
    <sheet name="Б.П.15" sheetId="4" r:id="rId4"/>
    <sheet name="Б.П.5" sheetId="5" r:id="rId5"/>
    <sheet name="Б.П.3" sheetId="6" r:id="rId6"/>
    <sheet name="Б.П.1" sheetId="7" r:id="rId7"/>
    <sheet name="Косм62" sheetId="8" r:id="rId8"/>
    <sheet name="Косм.60" sheetId="9" r:id="rId9"/>
    <sheet name="Косм.56" sheetId="10" r:id="rId10"/>
    <sheet name="Косм.52" sheetId="11" r:id="rId11"/>
    <sheet name="Косм50" sheetId="12" r:id="rId12"/>
    <sheet name="Косм48" sheetId="13" r:id="rId13"/>
    <sheet name="Косм30" sheetId="14" r:id="rId14"/>
    <sheet name="Косм28" sheetId="15" r:id="rId15"/>
    <sheet name="Косм.26" sheetId="16" r:id="rId16"/>
    <sheet name="Косм24" sheetId="17" r:id="rId17"/>
    <sheet name="Косм22" sheetId="18" r:id="rId18"/>
    <sheet name="Косм22а" sheetId="19" r:id="rId19"/>
    <sheet name="Косм18" sheetId="20" r:id="rId20"/>
    <sheet name="Дом.15" sheetId="21" r:id="rId21"/>
    <sheet name="Дом.17" sheetId="22" r:id="rId22"/>
    <sheet name="Дом.63" sheetId="23" r:id="rId23"/>
    <sheet name="Дом61" sheetId="24" r:id="rId24"/>
    <sheet name="Дом59" sheetId="25" r:id="rId25"/>
    <sheet name="Дом.57" sheetId="26" r:id="rId26"/>
    <sheet name="Дом.55" sheetId="27" r:id="rId27"/>
    <sheet name="Дом.37" sheetId="28" r:id="rId28"/>
    <sheet name="Дом.35" sheetId="29" r:id="rId29"/>
    <sheet name="Дом.33" sheetId="30" r:id="rId30"/>
    <sheet name="Дом.31" sheetId="31" r:id="rId31"/>
    <sheet name="Дом.25" sheetId="32" r:id="rId32"/>
    <sheet name="Дом.19" sheetId="33" r:id="rId33"/>
    <sheet name="Дом75" sheetId="34" r:id="rId34"/>
    <sheet name="Дом.77" sheetId="35" r:id="rId35"/>
    <sheet name="Дом.45" sheetId="36" r:id="rId36"/>
    <sheet name="Дом.43" sheetId="37" r:id="rId37"/>
    <sheet name="Дом.79" sheetId="38" r:id="rId38"/>
    <sheet name="Крив.68" sheetId="39" r:id="rId39"/>
    <sheet name="Крив.70" sheetId="40" r:id="rId40"/>
    <sheet name="Г.С.105" sheetId="41" r:id="rId41"/>
    <sheet name="Г.С.103" sheetId="42" r:id="rId42"/>
    <sheet name="Г.С.101" sheetId="43" r:id="rId43"/>
    <sheet name="Г.С.99" sheetId="44" r:id="rId44"/>
    <sheet name="Г.С.89" sheetId="45" r:id="rId45"/>
    <sheet name="Г.С.87" sheetId="46" r:id="rId46"/>
    <sheet name="Марш.11" sheetId="47" r:id="rId47"/>
    <sheet name="Марш.18" sheetId="48" r:id="rId48"/>
    <sheet name="Ю.Я.24" sheetId="49" r:id="rId49"/>
    <sheet name="Ю.Я.15" sheetId="50" r:id="rId50"/>
    <sheet name="Ю,Я.14а" sheetId="51" r:id="rId51"/>
    <sheet name="Ю.Я.12а" sheetId="52" r:id="rId52"/>
    <sheet name="Ю.Я.102" sheetId="53" r:id="rId53"/>
    <sheet name="Ю.Я.10-1" sheetId="54" r:id="rId54"/>
    <sheet name="Ю.Я.8-2" sheetId="55" r:id="rId55"/>
    <sheet name="Ю.Я.8-1" sheetId="56" r:id="rId56"/>
    <sheet name="Вор.46" sheetId="57" r:id="rId57"/>
    <sheet name="Вор.44" sheetId="58" r:id="rId58"/>
    <sheet name="ВОР.42" sheetId="59" r:id="rId59"/>
    <sheet name="Вор.40" sheetId="60" r:id="rId60"/>
    <sheet name="Вор.38" sheetId="61" r:id="rId61"/>
    <sheet name="Вор.34" sheetId="62" r:id="rId62"/>
    <sheet name="Вор.28" sheetId="63" r:id="rId63"/>
    <sheet name="Вор.26" sheetId="64" r:id="rId64"/>
    <sheet name="Вор.24" sheetId="65" r:id="rId65"/>
    <sheet name="Лист51" sheetId="66" r:id="rId66"/>
  </sheets>
  <calcPr calcId="124519" refMode="R1C1"/>
</workbook>
</file>

<file path=xl/calcChain.xml><?xml version="1.0" encoding="utf-8"?>
<calcChain xmlns="http://schemas.openxmlformats.org/spreadsheetml/2006/main">
  <c r="B10" i="65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C10"/>
  <c r="B10" i="64"/>
  <c r="B11"/>
  <c r="B13"/>
  <c r="B14"/>
  <c r="B16"/>
  <c r="B17"/>
  <c r="B20"/>
  <c r="B21"/>
  <c r="B22"/>
  <c r="B23"/>
  <c r="B24"/>
  <c r="B25"/>
  <c r="B27"/>
  <c r="B28"/>
  <c r="B9"/>
  <c r="C28"/>
  <c r="C14"/>
  <c r="C13"/>
  <c r="C11"/>
  <c r="C10"/>
  <c r="B10" i="63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62"/>
  <c r="B11"/>
  <c r="B12"/>
  <c r="B13"/>
  <c r="B14"/>
  <c r="B16"/>
  <c r="B17"/>
  <c r="B18"/>
  <c r="B20"/>
  <c r="B21"/>
  <c r="B22"/>
  <c r="B23"/>
  <c r="B24"/>
  <c r="B25"/>
  <c r="B27"/>
  <c r="B9"/>
  <c r="C14"/>
  <c r="C28"/>
  <c r="B28" s="1"/>
  <c r="C13"/>
  <c r="C11"/>
  <c r="B10" i="61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C10"/>
  <c r="B10" i="60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59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B10" i="58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57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B10" i="56"/>
  <c r="B11"/>
  <c r="B13"/>
  <c r="B14"/>
  <c r="B16"/>
  <c r="B17"/>
  <c r="B18"/>
  <c r="B20"/>
  <c r="B21"/>
  <c r="B22"/>
  <c r="B24"/>
  <c r="B27"/>
  <c r="B28"/>
  <c r="B9"/>
  <c r="C28"/>
  <c r="C14"/>
  <c r="C13"/>
  <c r="C11"/>
  <c r="C10"/>
  <c r="B10" i="55"/>
  <c r="B11"/>
  <c r="B13"/>
  <c r="B14"/>
  <c r="B16"/>
  <c r="B17"/>
  <c r="B18"/>
  <c r="B19"/>
  <c r="B20"/>
  <c r="B21"/>
  <c r="B22"/>
  <c r="B23"/>
  <c r="B24"/>
  <c r="B27"/>
  <c r="B28"/>
  <c r="B9"/>
  <c r="C28"/>
  <c r="C14"/>
  <c r="C13"/>
  <c r="C11"/>
  <c r="C10"/>
  <c r="B10" i="54"/>
  <c r="B11"/>
  <c r="B13"/>
  <c r="B14"/>
  <c r="B16"/>
  <c r="B17"/>
  <c r="B18"/>
  <c r="B20"/>
  <c r="B21"/>
  <c r="B22"/>
  <c r="B24"/>
  <c r="B27"/>
  <c r="B28"/>
  <c r="B9"/>
  <c r="C28"/>
  <c r="C14"/>
  <c r="C13"/>
  <c r="C11"/>
  <c r="B10" i="53"/>
  <c r="B11"/>
  <c r="B13"/>
  <c r="B14"/>
  <c r="B16"/>
  <c r="B17"/>
  <c r="B18"/>
  <c r="B19"/>
  <c r="B20"/>
  <c r="B21"/>
  <c r="B22"/>
  <c r="B24"/>
  <c r="B27"/>
  <c r="B28"/>
  <c r="B9"/>
  <c r="C14"/>
  <c r="C28"/>
  <c r="C13"/>
  <c r="C11"/>
  <c r="C10"/>
  <c r="B10" i="52"/>
  <c r="B11"/>
  <c r="B12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C10"/>
  <c r="B10" i="51"/>
  <c r="B11"/>
  <c r="B13"/>
  <c r="B14"/>
  <c r="B15"/>
  <c r="B16"/>
  <c r="B17"/>
  <c r="B18"/>
  <c r="B20"/>
  <c r="B21"/>
  <c r="B22"/>
  <c r="B23"/>
  <c r="B24"/>
  <c r="B25"/>
  <c r="B26"/>
  <c r="B27"/>
  <c r="B28"/>
  <c r="B9"/>
  <c r="C28"/>
  <c r="C14"/>
  <c r="C13"/>
  <c r="C11"/>
  <c r="B10" i="50"/>
  <c r="B11"/>
  <c r="B13"/>
  <c r="B14"/>
  <c r="B15"/>
  <c r="B16"/>
  <c r="B17"/>
  <c r="B18"/>
  <c r="B19"/>
  <c r="B20"/>
  <c r="B21"/>
  <c r="B22"/>
  <c r="B23"/>
  <c r="B24"/>
  <c r="B25"/>
  <c r="B27"/>
  <c r="B28"/>
  <c r="B9"/>
  <c r="C28"/>
  <c r="C14"/>
  <c r="C13"/>
  <c r="C11"/>
  <c r="B10" i="49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C10"/>
  <c r="B10" i="48"/>
  <c r="B11"/>
  <c r="B13"/>
  <c r="B14"/>
  <c r="B15"/>
  <c r="B16"/>
  <c r="B17"/>
  <c r="B20"/>
  <c r="B21"/>
  <c r="B22"/>
  <c r="B23"/>
  <c r="B24"/>
  <c r="B25"/>
  <c r="B27"/>
  <c r="B28"/>
  <c r="B9"/>
  <c r="C28"/>
  <c r="C14"/>
  <c r="C13"/>
  <c r="C11"/>
  <c r="C10"/>
  <c r="B10" i="47"/>
  <c r="B11"/>
  <c r="B12"/>
  <c r="B13"/>
  <c r="B14"/>
  <c r="B16"/>
  <c r="B17"/>
  <c r="B20"/>
  <c r="B21"/>
  <c r="B22"/>
  <c r="B23"/>
  <c r="B24"/>
  <c r="B25"/>
  <c r="B27"/>
  <c r="B28"/>
  <c r="B9"/>
  <c r="C28"/>
  <c r="C14"/>
  <c r="C13"/>
  <c r="C11"/>
  <c r="C10"/>
  <c r="B10" i="46"/>
  <c r="B11"/>
  <c r="B13"/>
  <c r="B14"/>
  <c r="B15"/>
  <c r="B16"/>
  <c r="B17"/>
  <c r="B18"/>
  <c r="B19"/>
  <c r="B20"/>
  <c r="B21"/>
  <c r="B22"/>
  <c r="B23"/>
  <c r="B24"/>
  <c r="B25"/>
  <c r="B27"/>
  <c r="B28"/>
  <c r="B9"/>
  <c r="C28"/>
  <c r="C15"/>
  <c r="C14"/>
  <c r="C13"/>
  <c r="C11"/>
  <c r="C10"/>
  <c r="B10" i="45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C10"/>
  <c r="B10" i="44"/>
  <c r="B11"/>
  <c r="B9"/>
  <c r="B14"/>
  <c r="B16"/>
  <c r="B17"/>
  <c r="B18"/>
  <c r="B19"/>
  <c r="B20"/>
  <c r="B21"/>
  <c r="B22"/>
  <c r="B23"/>
  <c r="B24"/>
  <c r="B25"/>
  <c r="B26"/>
  <c r="B27"/>
  <c r="B28"/>
  <c r="B13"/>
  <c r="C28"/>
  <c r="C14"/>
  <c r="C13"/>
  <c r="C11"/>
  <c r="C10"/>
  <c r="B10" i="35"/>
  <c r="B11"/>
  <c r="B12"/>
  <c r="B13"/>
  <c r="B14"/>
  <c r="B16"/>
  <c r="B17"/>
  <c r="B18"/>
  <c r="B20"/>
  <c r="B21"/>
  <c r="B22"/>
  <c r="B23"/>
  <c r="B24"/>
  <c r="B25"/>
  <c r="B27"/>
  <c r="B28"/>
  <c r="B9"/>
  <c r="B10" i="43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42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C10"/>
  <c r="B10" i="41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C10"/>
  <c r="B10" i="40"/>
  <c r="B11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3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38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37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36"/>
  <c r="B11"/>
  <c r="B13"/>
  <c r="B14"/>
  <c r="B16"/>
  <c r="B17"/>
  <c r="B18"/>
  <c r="B20"/>
  <c r="B21"/>
  <c r="B22"/>
  <c r="B23"/>
  <c r="B24"/>
  <c r="B25"/>
  <c r="B27"/>
  <c r="B28"/>
  <c r="B9"/>
  <c r="C28"/>
  <c r="C13"/>
  <c r="C14"/>
  <c r="C10"/>
  <c r="C11"/>
  <c r="C28" i="35"/>
  <c r="C14"/>
  <c r="C13"/>
  <c r="C11"/>
  <c r="C9"/>
  <c r="B10" i="34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C10"/>
  <c r="B10" i="23"/>
  <c r="B11"/>
  <c r="B13"/>
  <c r="B14"/>
  <c r="B16"/>
  <c r="B17"/>
  <c r="B18"/>
  <c r="B20"/>
  <c r="B21"/>
  <c r="B22"/>
  <c r="B23"/>
  <c r="B24"/>
  <c r="B25"/>
  <c r="B27"/>
  <c r="B9"/>
  <c r="C14"/>
  <c r="C28"/>
  <c r="B28" s="1"/>
  <c r="C13"/>
  <c r="C11"/>
  <c r="B10" i="24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25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27"/>
  <c r="B11"/>
  <c r="B13"/>
  <c r="B14"/>
  <c r="B16"/>
  <c r="B17"/>
  <c r="B18"/>
  <c r="B20"/>
  <c r="B21"/>
  <c r="B22"/>
  <c r="B23"/>
  <c r="B24"/>
  <c r="B25"/>
  <c r="B26"/>
  <c r="B27"/>
  <c r="B28"/>
  <c r="B9"/>
  <c r="B10" i="26"/>
  <c r="B11"/>
  <c r="B13"/>
  <c r="B14"/>
  <c r="B15"/>
  <c r="B16"/>
  <c r="B17"/>
  <c r="B18"/>
  <c r="B20"/>
  <c r="B21"/>
  <c r="B22"/>
  <c r="B23"/>
  <c r="B24"/>
  <c r="B25"/>
  <c r="B27"/>
  <c r="B28"/>
  <c r="B9"/>
  <c r="C10"/>
  <c r="C28"/>
  <c r="C14"/>
  <c r="C13"/>
  <c r="C11"/>
  <c r="C28" i="27"/>
  <c r="C14"/>
  <c r="C13"/>
  <c r="C11"/>
  <c r="B10" i="28"/>
  <c r="B11"/>
  <c r="B12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2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30"/>
  <c r="B11"/>
  <c r="B12"/>
  <c r="B13"/>
  <c r="B14"/>
  <c r="B16"/>
  <c r="B17"/>
  <c r="B19"/>
  <c r="B20"/>
  <c r="B21"/>
  <c r="B22"/>
  <c r="B23"/>
  <c r="B24"/>
  <c r="B26"/>
  <c r="B28"/>
  <c r="B9"/>
  <c r="C28"/>
  <c r="C14"/>
  <c r="C13"/>
  <c r="C11"/>
  <c r="C10"/>
  <c r="B10" i="31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C10"/>
  <c r="B10" i="32"/>
  <c r="B11"/>
  <c r="B12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33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B10" i="22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C10"/>
  <c r="B10" i="21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20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C10"/>
  <c r="B10" i="19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C10"/>
  <c r="B10" i="18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C10"/>
  <c r="B10" i="17"/>
  <c r="B11"/>
  <c r="B13"/>
  <c r="B14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16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15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B10" i="14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8"/>
  <c r="C14"/>
  <c r="C13"/>
  <c r="C11"/>
  <c r="B10" i="13"/>
  <c r="B11"/>
  <c r="B12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12"/>
  <c r="B11"/>
  <c r="B13"/>
  <c r="B14"/>
  <c r="B16"/>
  <c r="B17"/>
  <c r="B18"/>
  <c r="B20"/>
  <c r="B21"/>
  <c r="B22"/>
  <c r="B23"/>
  <c r="B24"/>
  <c r="B25"/>
  <c r="B26"/>
  <c r="B27"/>
  <c r="B28"/>
  <c r="B9"/>
  <c r="C28"/>
  <c r="C14"/>
  <c r="C13"/>
  <c r="C11"/>
  <c r="B10" i="11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10"/>
  <c r="B11"/>
  <c r="B13"/>
  <c r="B14"/>
  <c r="B16"/>
  <c r="B17"/>
  <c r="B18"/>
  <c r="B20"/>
  <c r="B21"/>
  <c r="B22"/>
  <c r="B23"/>
  <c r="B24"/>
  <c r="B25"/>
  <c r="B27"/>
  <c r="B28"/>
  <c r="B9"/>
  <c r="C28"/>
  <c r="C14"/>
  <c r="C11"/>
  <c r="C10"/>
  <c r="B10" i="9"/>
  <c r="B11"/>
  <c r="B13"/>
  <c r="B14"/>
  <c r="B15"/>
  <c r="B16"/>
  <c r="B17"/>
  <c r="B18"/>
  <c r="B19"/>
  <c r="B20"/>
  <c r="B21"/>
  <c r="B22"/>
  <c r="B24"/>
  <c r="B26"/>
  <c r="B27"/>
  <c r="B28"/>
  <c r="B9"/>
  <c r="C28"/>
  <c r="C14"/>
  <c r="C13"/>
  <c r="C11"/>
  <c r="C10"/>
  <c r="B10" i="8"/>
  <c r="B11"/>
  <c r="B13"/>
  <c r="B14"/>
  <c r="B15"/>
  <c r="B16"/>
  <c r="B17"/>
  <c r="B18"/>
  <c r="B19"/>
  <c r="B20"/>
  <c r="B21"/>
  <c r="B22"/>
  <c r="B23"/>
  <c r="B24"/>
  <c r="B25"/>
  <c r="B27"/>
  <c r="B28"/>
  <c r="B9"/>
  <c r="C28"/>
  <c r="C14"/>
  <c r="C13"/>
  <c r="C11"/>
  <c r="B10" i="7"/>
  <c r="B11"/>
  <c r="B13"/>
  <c r="B14"/>
  <c r="B15"/>
  <c r="B16"/>
  <c r="B17"/>
  <c r="B18"/>
  <c r="B20"/>
  <c r="B21"/>
  <c r="B22"/>
  <c r="B23"/>
  <c r="B24"/>
  <c r="B25"/>
  <c r="B27"/>
  <c r="B28"/>
  <c r="B9"/>
  <c r="C28"/>
  <c r="C14"/>
  <c r="C13"/>
  <c r="C11"/>
  <c r="C10"/>
  <c r="B10" i="6"/>
  <c r="B11"/>
  <c r="B13"/>
  <c r="B14"/>
  <c r="B16"/>
  <c r="B17"/>
  <c r="B18"/>
  <c r="B20"/>
  <c r="B21"/>
  <c r="B22"/>
  <c r="B23"/>
  <c r="B24"/>
  <c r="B25"/>
  <c r="B27"/>
  <c r="B28"/>
  <c r="B9"/>
  <c r="C28"/>
  <c r="C14"/>
  <c r="C13"/>
  <c r="C11"/>
  <c r="B10" i="5"/>
  <c r="B11"/>
  <c r="B13"/>
  <c r="B14"/>
  <c r="B15"/>
  <c r="B16"/>
  <c r="B17"/>
  <c r="B20"/>
  <c r="B21"/>
  <c r="B22"/>
  <c r="B23"/>
  <c r="B24"/>
  <c r="B25"/>
  <c r="B27"/>
  <c r="B28"/>
  <c r="B9"/>
  <c r="C28"/>
  <c r="C14"/>
  <c r="C13"/>
  <c r="C10"/>
  <c r="C11"/>
  <c r="B10" i="4"/>
  <c r="B11"/>
  <c r="B13"/>
  <c r="B14"/>
  <c r="B15"/>
  <c r="B16"/>
  <c r="B17"/>
  <c r="B18"/>
  <c r="B19"/>
  <c r="B20"/>
  <c r="B21"/>
  <c r="B22"/>
  <c r="B24"/>
  <c r="B25"/>
  <c r="B26"/>
  <c r="B27"/>
  <c r="B28"/>
  <c r="B9"/>
  <c r="C28"/>
  <c r="C14"/>
  <c r="C13"/>
  <c r="C11"/>
  <c r="B10" i="3"/>
  <c r="B11"/>
  <c r="B13"/>
  <c r="B14"/>
  <c r="B16"/>
  <c r="B17"/>
  <c r="B20"/>
  <c r="B21"/>
  <c r="B22"/>
  <c r="B23"/>
  <c r="B24"/>
  <c r="B25"/>
  <c r="B26"/>
  <c r="B27"/>
  <c r="B28"/>
  <c r="B9"/>
  <c r="C28"/>
  <c r="C14"/>
  <c r="C13"/>
  <c r="C11"/>
  <c r="C10"/>
  <c r="B10" i="2"/>
  <c r="B11"/>
  <c r="B13"/>
  <c r="B14"/>
  <c r="B15"/>
  <c r="B16"/>
  <c r="B17"/>
  <c r="B18"/>
  <c r="B20"/>
  <c r="B21"/>
  <c r="B22"/>
  <c r="B23"/>
  <c r="B24"/>
  <c r="B25"/>
  <c r="B27"/>
  <c r="B28"/>
  <c r="B9"/>
  <c r="C28"/>
  <c r="C14"/>
  <c r="C13"/>
  <c r="C11"/>
  <c r="B9" i="1"/>
  <c r="B10"/>
  <c r="B11"/>
  <c r="B13"/>
  <c r="B14"/>
  <c r="B16"/>
  <c r="B17"/>
  <c r="B20"/>
  <c r="B21"/>
  <c r="B22"/>
  <c r="B23"/>
  <c r="B24"/>
  <c r="B25"/>
  <c r="B27"/>
  <c r="B28"/>
  <c r="C28"/>
  <c r="C14"/>
  <c r="C11"/>
</calcChain>
</file>

<file path=xl/sharedStrings.xml><?xml version="1.0" encoding="utf-8"?>
<sst xmlns="http://schemas.openxmlformats.org/spreadsheetml/2006/main" count="2518" uniqueCount="150">
  <si>
    <t xml:space="preserve">                                                        Карточка лицевого счета</t>
  </si>
  <si>
    <t xml:space="preserve">                                          жилого дома № 1  ул.Б.Пионеров</t>
  </si>
  <si>
    <t xml:space="preserve">                                                    находящегося на техобслуживании</t>
  </si>
  <si>
    <t xml:space="preserve">                                                                  за 2014г.</t>
  </si>
  <si>
    <t xml:space="preserve">     Наименование статей дохода и расхода</t>
  </si>
  <si>
    <t>Сумма  в месяц</t>
  </si>
  <si>
    <t>Сумма за    год</t>
  </si>
  <si>
    <t>Остаток на  начало года</t>
  </si>
  <si>
    <t>ИТОГО ДОХОД</t>
  </si>
  <si>
    <t>РАСХОД</t>
  </si>
  <si>
    <t>ИТОГО  РАСХОД</t>
  </si>
  <si>
    <t>Остаток на конец года</t>
  </si>
  <si>
    <t>Перерасход на конец года</t>
  </si>
  <si>
    <t>Карточку лицевого счета получила</t>
  </si>
  <si>
    <t xml:space="preserve">Ст аршая по  дому                          </t>
  </si>
  <si>
    <t>______________201    г</t>
  </si>
  <si>
    <t>Главный бухгалтер                                                    Артеменко Л.К.</t>
  </si>
  <si>
    <t>3.Текущий ремонт</t>
  </si>
  <si>
    <t>4.Содержание аварийно-спасательной службы</t>
  </si>
  <si>
    <t>5.Дератизация жилых домов</t>
  </si>
  <si>
    <t>6. Тех.обслуживание и освидет. лифтов</t>
  </si>
  <si>
    <t>7.Содержание паспортного стола</t>
  </si>
  <si>
    <t>8.Авт.учет, ком.сбор вычислительного центра</t>
  </si>
  <si>
    <t>9.Содержание УК</t>
  </si>
  <si>
    <t>10.Прочистка ветканалов, дымоходов</t>
  </si>
  <si>
    <t>11.Налог УСНО</t>
  </si>
  <si>
    <t>12.Техническое обслуживание газопровода</t>
  </si>
  <si>
    <t>13.Работа сторонних организаций</t>
  </si>
  <si>
    <t>14.Вывоз ТБО, КГО</t>
  </si>
  <si>
    <t>1. Техническое обслуживание инженерных сетей, конструктивных элементов, в т.ч. з/плата, отчисления в пенсионный фонд, соцстрах,спецодежда, инструмент, расходные материалы.</t>
  </si>
  <si>
    <t xml:space="preserve">2.Уборка придомовой территории  и лестничных клеток, в т.ч. з/плата, отчисления в пенсионный фонд, соцстрах,инвентарь,спецодежда,расходные материалы.  </t>
  </si>
  <si>
    <t>3.Уборка мусоропровода,  в т.ч. з/плата, отчисления в пенсионный фонд, соцстрах, инвентарь, спецодежда,расходные материалы.</t>
  </si>
  <si>
    <t>1.Оплачено собственниками жилых помещений по ЕПД на содержание и тек.ремонт.</t>
  </si>
  <si>
    <t>2.Оплачено собственниками  нежилых помещений на содер. и текущий ремонт, доход от интернетпровайдеров.</t>
  </si>
  <si>
    <t xml:space="preserve">Задолженность собственников жилого дома по ЕПД на конец года составляет- </t>
  </si>
  <si>
    <t>Задолженнность жилого дома перед поставщиками коммунальных услуг(отопление,ГВС,ХВС) по состоянию на 01.01.2015г.-</t>
  </si>
  <si>
    <t xml:space="preserve">                                          жилого дома № 27  ул.Б.Пионеров</t>
  </si>
  <si>
    <t>Задолженность собственников жилого дома по ЕПД на конец года составляет- 67698,39</t>
  </si>
  <si>
    <t xml:space="preserve">                                                             УК РЭК №12 </t>
  </si>
  <si>
    <t xml:space="preserve">                                          жилого дома № 25 ул.Б.Пионеров</t>
  </si>
  <si>
    <t>Задолженность собственников жилого дома по ЕПД на конец года составляет- 120613,91</t>
  </si>
  <si>
    <t xml:space="preserve">                                          жилого дома № 21  ул.Б.Пионеров</t>
  </si>
  <si>
    <t xml:space="preserve">Задолженность собственников жилого дома по ЕПД на конец года составляет-84387,70 </t>
  </si>
  <si>
    <t xml:space="preserve">                                          жилого дома № 15 ул.Б.Пионеров</t>
  </si>
  <si>
    <t>Задолженность собственников жилого дома по ЕПД на конец года составляет- 326835,27</t>
  </si>
  <si>
    <t xml:space="preserve">                                          жилого дома № 5  ул.Б.Пионеров</t>
  </si>
  <si>
    <t>Задолженность собственников жилого дома по ЕПД на конец года составляет- 203048,55</t>
  </si>
  <si>
    <t xml:space="preserve">                                          жилого дома № 3  ул.Б.Пионеров</t>
  </si>
  <si>
    <t>Задолженность собственников жилого дома по ЕПД на конец года составляет- 33497,08</t>
  </si>
  <si>
    <t>Задолженность собственников жилого дома по ЕПД на конец года составляет- 243192,14</t>
  </si>
  <si>
    <t xml:space="preserve">                                          жилого дома №62  ул.Космонавтов</t>
  </si>
  <si>
    <t>Задолженность собственников жилого дома по ЕПД на конец года составляет- 103827,13</t>
  </si>
  <si>
    <t xml:space="preserve">                                          жилого дома № 60  ул. Космонавтов</t>
  </si>
  <si>
    <t xml:space="preserve">                                                             УК РЭК  №12 </t>
  </si>
  <si>
    <t>Задолженность собственников жилого дома по ЕПД на конец года составляет- 107854,99</t>
  </si>
  <si>
    <t>Задолженнность жилого дома перед поставщиками коммунальных услуг(отопление,ГВС,ХВС) по состоянию на 01.01.2015г.-51193,04</t>
  </si>
  <si>
    <t>Задолженнность жилого дома перед поставщиками коммунальных услуг(отопление,ГВС,ХВС) по состоянию на 01.01.2015г.-29176,24</t>
  </si>
  <si>
    <t>Задолженнность жилого дома перед поставщиками коммунальных услуг(отопление,ГВС,ХВС) по состоянию на 01.01.2015г.-4033,97</t>
  </si>
  <si>
    <t>Задолженнность жилого дома перед поставщиками коммунальных услуг(отопление,ГВС,ХВС) по состоянию на 01.01.2015г.-12789,63</t>
  </si>
  <si>
    <t>Задолженнность жилого дома перед поставщиками коммунальных услуг(отопление,ГВС,ХВС) по состоянию на 01.01.2015г.-0</t>
  </si>
  <si>
    <t>Задолженнность жилого дома перед поставщиками коммунальных услуг(отопление,ГВС,ХВС) по состоянию на 01.01.2015г.-29141,96</t>
  </si>
  <si>
    <t>Задолженнность жилого дома перед поставщиками коммунальных услуг(отопление,ГВС,ХВС) по состоянию на 01.01.2015г.- 0</t>
  </si>
  <si>
    <t>Задолженнность жилого дома перед поставщиками коммунальных услуг(отопление,ГВС,ХВС) по состоянию на 01.01.2015г.-14983,17</t>
  </si>
  <si>
    <t xml:space="preserve">                                          жилого дома № 56  ул. Космонавтов</t>
  </si>
  <si>
    <t xml:space="preserve">Задолженность собственников жилого дома по ЕПД на конец года составляет- 70071,92 </t>
  </si>
  <si>
    <t>Задолженнность жилого дома перед поставщиками коммунальных услуг(отопление,ГВС,ХВС) по состоянию на 01.01.2015г.- 23195,19</t>
  </si>
  <si>
    <t xml:space="preserve">                                          жилого дома №52  ул. Космонавтов</t>
  </si>
  <si>
    <t>Задолженность собственников жилого дома по ЕПД на конец года составляет- 93394,50</t>
  </si>
  <si>
    <t>Задолженнность жилого дома перед поставщиками коммунальных услуг(отопление,ГВС,ХВС) по состоянию на 01.01.2015г.-30011,36</t>
  </si>
  <si>
    <t xml:space="preserve">                                          жилого дома № 50  ул. Космонавтов</t>
  </si>
  <si>
    <t>Задолженность собственников жилого дома по ЕПД на конец года составляет- 259280,57</t>
  </si>
  <si>
    <t>Задолженнность жилого дома перед поставщиками коммунальных услуг(отопление,ГВС,ХВС) по состоянию на 01.01.2015г.-33858,93</t>
  </si>
  <si>
    <t xml:space="preserve">                                          жилого дома № 48  ул. Космонавтов</t>
  </si>
  <si>
    <t>Задолженность собственников жилого дома по ЕПД на конец года составляет- 77094,91</t>
  </si>
  <si>
    <t>Задолженнность жилого дома перед поставщиками коммунальных услуг(отопление,ГВС,ХВС) по состоянию на 01.01.2015г.-25810,62</t>
  </si>
  <si>
    <t xml:space="preserve">                                          жилого дома № 30   ул.Космонавтов</t>
  </si>
  <si>
    <t>Задолженность собственников жилого дома по ЕПД на конец года составляет- 73174,62</t>
  </si>
  <si>
    <t>Задолженнность жилого дома перед поставщиками коммунальных услуг(отопление,ГВС,ХВС) по состоянию на 01.01.2015г.-24226,41</t>
  </si>
  <si>
    <t xml:space="preserve">                                          жилого дома № 28  ул. Космонавтов</t>
  </si>
  <si>
    <t>Задолженность собственников жилого дома по ЕПД на конец года составляет- 252748,27</t>
  </si>
  <si>
    <t>Задолженнность жилого дома перед поставщиками коммунальных услуг(отопление,ГВС,ХВС) по состоянию на 01.01.2015г.-22537,87</t>
  </si>
  <si>
    <t xml:space="preserve">                                          жилого дома № 26  ул. Космонавтов</t>
  </si>
  <si>
    <t>Задолженность собственников жилого дома по ЕПД на конец года составляет- 148488,12</t>
  </si>
  <si>
    <t>Задолженнность жилого дома перед поставщиками коммунальных услуг(отопление,ГВС,ХВС) по состоянию на 01.01.2015г.-9404,75</t>
  </si>
  <si>
    <t xml:space="preserve">                                          жилого дома № 24ул.  Космонавтов</t>
  </si>
  <si>
    <t xml:space="preserve">Задолженность собственников жилого дома по ЕПД на конец года составляет- 77194,09 </t>
  </si>
  <si>
    <t xml:space="preserve">                                          жилого дома № 22  ул. Космонавтов</t>
  </si>
  <si>
    <t>Задолженность собственников жилого дома по ЕПД на конец года составляет- 85907,53</t>
  </si>
  <si>
    <t>Задолженнность жилого дома перед поставщиками коммунальных услуг(отопление,ГВС,ХВС) по состоянию на 01.01.2015г.-34169,81</t>
  </si>
  <si>
    <t xml:space="preserve">                                          жилого дома №22а  ул. Космонавтов</t>
  </si>
  <si>
    <t>Задолженность собственников жилого дома по ЕПД на конец года составляет- 9642,72</t>
  </si>
  <si>
    <t>Задолженнность жилого дома перед поставщиками коммунальных услуг(отопление,ГВС,ХВС) по состоянию на 01.01.2015г.-11917,35</t>
  </si>
  <si>
    <t xml:space="preserve">                                          жилого дома № 18  ул. Космонавтов</t>
  </si>
  <si>
    <t>Задолженность собственников жилого дома по ЕПД на конец года составляет- 77194,09</t>
  </si>
  <si>
    <t xml:space="preserve">                                          жилого дома № 15  ул. Домостроителей</t>
  </si>
  <si>
    <t>Задолженность собственников жилого дома по ЕПД на конец года составляет- 64233,02</t>
  </si>
  <si>
    <t xml:space="preserve">                                          жилого дома № 17  ул. Домостроителей</t>
  </si>
  <si>
    <t xml:space="preserve">Всего по карточке лицевого счета </t>
  </si>
  <si>
    <t>Задолженность собственников жилого дома по ЕПД на конец года составляет</t>
  </si>
  <si>
    <t>Задолженнность жилого дома перед поставщиками коммунальных услуг(отопление,ГВС,ХВС) по состоянию на 01.01.2015г.</t>
  </si>
  <si>
    <t>Всего по карточке лицевого счета</t>
  </si>
  <si>
    <t>ВСЕГО по карточке лицевого счета</t>
  </si>
  <si>
    <t xml:space="preserve">ВСЕГО по карточке лицевого счета </t>
  </si>
  <si>
    <t xml:space="preserve">                                          жилого дома № 19  ул. Домостроителей</t>
  </si>
  <si>
    <t xml:space="preserve">                                          жилого дома № 25  ул. Домостроителей</t>
  </si>
  <si>
    <t xml:space="preserve">                                          жилого дома № 31  ул. Домостроителей</t>
  </si>
  <si>
    <t xml:space="preserve">                                          жилого дома № 33  ул. Домостроителей</t>
  </si>
  <si>
    <t xml:space="preserve">                                          жилого дома № 35  ул. Домостроителей</t>
  </si>
  <si>
    <t xml:space="preserve">                                          жилого дома № 37  ул. Домостроителей</t>
  </si>
  <si>
    <t xml:space="preserve">                                          жилого дома № 55  ул. Домостроителей</t>
  </si>
  <si>
    <t xml:space="preserve">                                          жилого дома № 57  ул. Домостроителей</t>
  </si>
  <si>
    <t xml:space="preserve">                                          жилого дома № 59  ул. Домостроителей</t>
  </si>
  <si>
    <t xml:space="preserve">                                          жилого дома № 61  ул. Домостроителей</t>
  </si>
  <si>
    <t xml:space="preserve">                                          жилого дома № 63  ул. Домостроителей</t>
  </si>
  <si>
    <t>Домостроителей</t>
  </si>
  <si>
    <t xml:space="preserve">                                          жилого дома № 77  ул. Домостроителей</t>
  </si>
  <si>
    <t xml:space="preserve">                                          жилого дома № 45  ул. Домостроителей</t>
  </si>
  <si>
    <t xml:space="preserve">                                          жилого дома № 43  ул. Домостроителей</t>
  </si>
  <si>
    <t xml:space="preserve">                                          жилого дома № 79  ул.Домостроителей</t>
  </si>
  <si>
    <t xml:space="preserve">                                          жилого дома № 68  ул. Кривошеина</t>
  </si>
  <si>
    <t xml:space="preserve">                                          жилого дома № 70  ул. Кривошеина</t>
  </si>
  <si>
    <t xml:space="preserve">                                          жилого дома № 105  ул. Г.Сибиряков</t>
  </si>
  <si>
    <t xml:space="preserve">                                          жилого дома № 103 ул. Г.Сибиряков</t>
  </si>
  <si>
    <t xml:space="preserve">                                          жилого дома № 101  ул  Г.Сибиряков</t>
  </si>
  <si>
    <t xml:space="preserve">                                          жилого дома № 75  ул.</t>
  </si>
  <si>
    <t xml:space="preserve">                                          жилого дома №99  ул. Г.Сибиряков</t>
  </si>
  <si>
    <t xml:space="preserve">                                          жилого дома № 89  ул. Г.Сибиряков</t>
  </si>
  <si>
    <t xml:space="preserve">Задолженность собственников жилого дома по ЕПД на конец года составляет </t>
  </si>
  <si>
    <t xml:space="preserve">                                          жилого дома № 87 ул. Г.Сибиряков</t>
  </si>
  <si>
    <t xml:space="preserve">                                          жилого дома № 11 ул. Маршака</t>
  </si>
  <si>
    <t xml:space="preserve">                                          жилого дома № 18 ул. Маршака</t>
  </si>
  <si>
    <t xml:space="preserve">                                          жилого дома № 18 ул. Ю.Янониса</t>
  </si>
  <si>
    <t xml:space="preserve">                                          жилого дома № 24ул. Ю.Янониса</t>
  </si>
  <si>
    <t xml:space="preserve">                                          жилого дома № 15 ул. Ю.Янониса</t>
  </si>
  <si>
    <t xml:space="preserve">                                          жилого дома № 14а  ул. Ю.Янониса</t>
  </si>
  <si>
    <t xml:space="preserve">                                          жилого дома № 12а ул. Ю.Янониса</t>
  </si>
  <si>
    <t xml:space="preserve">                                          жилого дома № 10/2    ул. Ю.Янониса</t>
  </si>
  <si>
    <t xml:space="preserve">                                          жилого дома № 10/1 ул. Ю.Янониса</t>
  </si>
  <si>
    <t xml:space="preserve">                                          жилого дома № 8/2   ул. Ю.Янониса</t>
  </si>
  <si>
    <t xml:space="preserve">                                          жилого дома № 8/1   ул. Ю.Янониса</t>
  </si>
  <si>
    <t>Ворошилова</t>
  </si>
  <si>
    <t xml:space="preserve">                                          жилого дома № 46 ул. </t>
  </si>
  <si>
    <t xml:space="preserve">                                          жилого дома № 44    ул.</t>
  </si>
  <si>
    <t xml:space="preserve">                                          жилого дома № 40           ул. </t>
  </si>
  <si>
    <t xml:space="preserve">                                          жилого дома № 38 ул.</t>
  </si>
  <si>
    <t xml:space="preserve">                                          жилого дома № 34 ул. </t>
  </si>
  <si>
    <t xml:space="preserve">                                          жилого дома № 28 ул. </t>
  </si>
  <si>
    <t xml:space="preserve">                                          жилого дома № 26 ул. </t>
  </si>
  <si>
    <t xml:space="preserve">                                          жилого дома № 24 ул. </t>
  </si>
  <si>
    <t xml:space="preserve">                                          жилого дома № 42 ул. 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</si>
</sst>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2" fontId="1" fillId="0" borderId="0" xfId="0" applyNumberFormat="1" applyFont="1"/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36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B8" s="5"/>
      <c r="C8" s="1">
        <v>-35224.28</v>
      </c>
    </row>
    <row r="9" spans="1:3" ht="53.25" customHeight="1">
      <c r="A9" s="3" t="s">
        <v>32</v>
      </c>
      <c r="B9" s="5">
        <f t="shared" ref="B9:B28" si="0">C9/12</f>
        <v>37463.924999999996</v>
      </c>
      <c r="C9" s="1">
        <v>449567.1</v>
      </c>
    </row>
    <row r="10" spans="1:3" ht="46.5" customHeight="1">
      <c r="A10" s="3" t="s">
        <v>33</v>
      </c>
      <c r="B10" s="5">
        <f t="shared" si="0"/>
        <v>1769.2733333333333</v>
      </c>
      <c r="C10" s="1">
        <v>21231.279999999999</v>
      </c>
    </row>
    <row r="11" spans="1:3" ht="18" customHeight="1">
      <c r="A11" s="2" t="s">
        <v>8</v>
      </c>
      <c r="B11" s="5">
        <f t="shared" si="0"/>
        <v>39233.198333333334</v>
      </c>
      <c r="C11" s="1">
        <f>SUM(C9:C10)</f>
        <v>470798.38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9968.2566666666662</v>
      </c>
      <c r="C13" s="1">
        <v>119619.08</v>
      </c>
    </row>
    <row r="14" spans="1:3" ht="81.75" customHeight="1">
      <c r="A14" s="3" t="s">
        <v>30</v>
      </c>
      <c r="B14" s="5">
        <f t="shared" si="0"/>
        <v>10105.011666666667</v>
      </c>
      <c r="C14" s="1">
        <f>30885.87+90374.27</f>
        <v>121260.14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2814.1666666666665</v>
      </c>
      <c r="C16" s="1">
        <v>33770</v>
      </c>
    </row>
    <row r="17" spans="1:3" ht="14.25" customHeight="1">
      <c r="A17" s="1" t="s">
        <v>18</v>
      </c>
      <c r="B17" s="5">
        <f t="shared" si="0"/>
        <v>1432.0249999999999</v>
      </c>
      <c r="C17" s="1">
        <v>17184.3</v>
      </c>
    </row>
    <row r="18" spans="1:3" ht="14.25" customHeight="1">
      <c r="A18" s="1" t="s">
        <v>19</v>
      </c>
      <c r="B18" s="5"/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681.51666666666665</v>
      </c>
      <c r="C20" s="1">
        <v>8178.2</v>
      </c>
    </row>
    <row r="21" spans="1:3" ht="14.25" customHeight="1">
      <c r="A21" s="1" t="s">
        <v>22</v>
      </c>
      <c r="B21" s="5">
        <f t="shared" si="0"/>
        <v>1744.8633333333335</v>
      </c>
      <c r="C21" s="1">
        <v>20938.36</v>
      </c>
    </row>
    <row r="22" spans="1:3" ht="14.25" customHeight="1">
      <c r="A22" s="1" t="s">
        <v>23</v>
      </c>
      <c r="B22" s="5">
        <f t="shared" si="0"/>
        <v>3174.8783333333336</v>
      </c>
      <c r="C22" s="1">
        <v>38098.54</v>
      </c>
    </row>
    <row r="23" spans="1:3" ht="14.25" customHeight="1">
      <c r="A23" s="1" t="s">
        <v>24</v>
      </c>
      <c r="B23" s="5">
        <f t="shared" si="0"/>
        <v>515.47500000000002</v>
      </c>
      <c r="C23" s="1">
        <v>6185.7</v>
      </c>
    </row>
    <row r="24" spans="1:3" ht="14.25" customHeight="1">
      <c r="A24" s="1" t="s">
        <v>25</v>
      </c>
      <c r="B24" s="5">
        <f t="shared" si="0"/>
        <v>2066.9608333333331</v>
      </c>
      <c r="C24" s="1">
        <v>24803.53</v>
      </c>
    </row>
    <row r="25" spans="1:3" ht="14.25" customHeight="1">
      <c r="A25" s="1" t="s">
        <v>26</v>
      </c>
      <c r="B25" s="5">
        <f t="shared" si="0"/>
        <v>224.28166666666667</v>
      </c>
      <c r="C25" s="1">
        <v>2691.38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8020.4575000000004</v>
      </c>
      <c r="C27" s="1">
        <v>96245.49</v>
      </c>
    </row>
    <row r="28" spans="1:3" ht="14.25" customHeight="1">
      <c r="A28" s="2" t="s">
        <v>10</v>
      </c>
      <c r="B28" s="5">
        <f t="shared" si="0"/>
        <v>40747.893333333333</v>
      </c>
      <c r="C28" s="1">
        <f>SUM(C13:C27)</f>
        <v>488974.72</v>
      </c>
    </row>
    <row r="29" spans="1:3" ht="27" customHeight="1">
      <c r="A29" s="2" t="s">
        <v>11</v>
      </c>
    </row>
    <row r="30" spans="1:3" ht="23.25" customHeight="1">
      <c r="A30" s="2" t="s">
        <v>12</v>
      </c>
      <c r="C30" s="1">
        <v>53400.62</v>
      </c>
    </row>
    <row r="31" spans="1:3" ht="57" customHeight="1">
      <c r="A31" s="3" t="s">
        <v>37</v>
      </c>
      <c r="C31" s="1">
        <v>67698.39</v>
      </c>
    </row>
    <row r="32" spans="1:3" ht="72.75" customHeight="1">
      <c r="A32" s="3" t="s">
        <v>62</v>
      </c>
      <c r="C32" s="1">
        <v>14983.17</v>
      </c>
    </row>
    <row r="33" spans="1:3" ht="50.25" customHeight="1">
      <c r="A33" s="2" t="s">
        <v>101</v>
      </c>
      <c r="C33" s="2">
        <v>-136082.18</v>
      </c>
    </row>
    <row r="34" spans="1:3" ht="59.25" customHeight="1">
      <c r="A34" s="1" t="s">
        <v>16</v>
      </c>
    </row>
    <row r="35" spans="1:3" ht="39" customHeight="1">
      <c r="A35" s="1" t="s">
        <v>13</v>
      </c>
    </row>
    <row r="36" spans="1:3" ht="24" customHeight="1">
      <c r="A36" s="1" t="s">
        <v>14</v>
      </c>
    </row>
    <row r="37" spans="1:3" ht="22.5" customHeight="1">
      <c r="A37" s="1" t="s">
        <v>15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topLeftCell="A25" workbookViewId="0">
      <selection activeCell="C33" sqref="C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4" ht="14.25" customHeight="1">
      <c r="A1" s="1" t="s">
        <v>0</v>
      </c>
    </row>
    <row r="2" spans="1:4" ht="14.25" customHeight="1">
      <c r="A2" s="1" t="s">
        <v>63</v>
      </c>
    </row>
    <row r="3" spans="1:4" ht="14.25" customHeight="1">
      <c r="A3" s="1" t="s">
        <v>2</v>
      </c>
    </row>
    <row r="4" spans="1:4" ht="14.25" customHeight="1">
      <c r="A4" s="1" t="s">
        <v>38</v>
      </c>
    </row>
    <row r="5" spans="1:4" ht="14.25" customHeight="1">
      <c r="A5" s="1" t="s">
        <v>3</v>
      </c>
    </row>
    <row r="6" spans="1:4" ht="32.25" customHeight="1"/>
    <row r="7" spans="1:4" ht="14.25" customHeight="1">
      <c r="A7" s="1" t="s">
        <v>4</v>
      </c>
      <c r="B7" s="1" t="s">
        <v>5</v>
      </c>
      <c r="C7" s="1" t="s">
        <v>6</v>
      </c>
    </row>
    <row r="8" spans="1:4" ht="18.75" customHeight="1">
      <c r="A8" s="2" t="s">
        <v>7</v>
      </c>
      <c r="C8" s="2">
        <v>-53006.97</v>
      </c>
      <c r="D8" s="2"/>
    </row>
    <row r="9" spans="1:4" ht="53.25" customHeight="1">
      <c r="A9" s="3" t="s">
        <v>32</v>
      </c>
      <c r="B9" s="5">
        <f>C9/12</f>
        <v>60895.306666666671</v>
      </c>
      <c r="C9" s="1">
        <v>730743.68</v>
      </c>
    </row>
    <row r="10" spans="1:4" ht="46.5" customHeight="1">
      <c r="A10" s="3" t="s">
        <v>33</v>
      </c>
      <c r="B10" s="5">
        <f t="shared" ref="B10:B28" si="0">C10/12</f>
        <v>1863.0933333333335</v>
      </c>
      <c r="C10" s="1">
        <f>2996.99+19360.13</f>
        <v>22357.120000000003</v>
      </c>
    </row>
    <row r="11" spans="1:4" ht="18" customHeight="1">
      <c r="A11" s="2" t="s">
        <v>8</v>
      </c>
      <c r="B11" s="5">
        <f t="shared" si="0"/>
        <v>62758.400000000001</v>
      </c>
      <c r="C11" s="2">
        <f>SUM(C9:C10)</f>
        <v>753100.80000000005</v>
      </c>
    </row>
    <row r="12" spans="1:4" ht="14.25" customHeight="1">
      <c r="A12" s="2" t="s">
        <v>9</v>
      </c>
      <c r="B12" s="5"/>
    </row>
    <row r="13" spans="1:4" ht="85.5" customHeight="1">
      <c r="A13" s="3" t="s">
        <v>29</v>
      </c>
      <c r="B13" s="5">
        <f t="shared" si="0"/>
        <v>15203.519999999999</v>
      </c>
      <c r="C13" s="1">
        <v>182442.23999999999</v>
      </c>
    </row>
    <row r="14" spans="1:4" ht="81.75" customHeight="1">
      <c r="A14" s="3" t="s">
        <v>30</v>
      </c>
      <c r="B14" s="5">
        <f t="shared" si="0"/>
        <v>10630.413333333332</v>
      </c>
      <c r="C14" s="1">
        <f>44344.13+83220.83</f>
        <v>127564.95999999999</v>
      </c>
    </row>
    <row r="15" spans="1:4" ht="66" customHeight="1">
      <c r="A15" s="3" t="s">
        <v>31</v>
      </c>
      <c r="B15" s="5"/>
    </row>
    <row r="16" spans="1:4" ht="16.5" customHeight="1">
      <c r="A16" s="1" t="s">
        <v>17</v>
      </c>
      <c r="B16" s="5">
        <f t="shared" si="0"/>
        <v>2406.75</v>
      </c>
      <c r="C16" s="1">
        <v>28881</v>
      </c>
    </row>
    <row r="17" spans="1:3" ht="14.25" customHeight="1">
      <c r="A17" s="1" t="s">
        <v>18</v>
      </c>
      <c r="B17" s="5">
        <f t="shared" si="0"/>
        <v>2197.7416666666668</v>
      </c>
      <c r="C17" s="1">
        <v>26372.9</v>
      </c>
    </row>
    <row r="18" spans="1:3" ht="14.25" customHeight="1">
      <c r="A18" s="1" t="s">
        <v>19</v>
      </c>
      <c r="B18" s="5">
        <f t="shared" si="0"/>
        <v>142.81</v>
      </c>
      <c r="C18" s="1">
        <v>1713.72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1095.9525000000001</v>
      </c>
      <c r="C20" s="1">
        <v>13151.43</v>
      </c>
    </row>
    <row r="21" spans="1:3" ht="14.25" customHeight="1">
      <c r="A21" s="1" t="s">
        <v>22</v>
      </c>
      <c r="B21" s="5">
        <f t="shared" si="0"/>
        <v>2797.7999999999997</v>
      </c>
      <c r="C21" s="1">
        <v>33573.599999999999</v>
      </c>
    </row>
    <row r="22" spans="1:3" ht="14.25" customHeight="1">
      <c r="A22" s="1" t="s">
        <v>23</v>
      </c>
      <c r="B22" s="5">
        <f t="shared" si="0"/>
        <v>4842.3033333333333</v>
      </c>
      <c r="C22" s="1">
        <v>58107.64</v>
      </c>
    </row>
    <row r="23" spans="1:3" ht="14.25" customHeight="1">
      <c r="A23" s="1" t="s">
        <v>24</v>
      </c>
      <c r="B23" s="5">
        <f t="shared" si="0"/>
        <v>774.61749999999995</v>
      </c>
      <c r="C23" s="1">
        <v>9295.41</v>
      </c>
    </row>
    <row r="24" spans="1:3" ht="14.25" customHeight="1">
      <c r="A24" s="1" t="s">
        <v>25</v>
      </c>
      <c r="B24" s="5">
        <f t="shared" si="0"/>
        <v>3306.3624999999997</v>
      </c>
      <c r="C24" s="1">
        <v>39676.35</v>
      </c>
    </row>
    <row r="25" spans="1:3" ht="14.25" customHeight="1">
      <c r="A25" s="1" t="s">
        <v>26</v>
      </c>
      <c r="B25" s="5">
        <f t="shared" si="0"/>
        <v>259.95416666666665</v>
      </c>
      <c r="C25" s="1">
        <v>3119.45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12402.362500000001</v>
      </c>
      <c r="C27" s="1">
        <v>148828.35</v>
      </c>
    </row>
    <row r="28" spans="1:3" ht="14.25" customHeight="1">
      <c r="A28" s="2" t="s">
        <v>10</v>
      </c>
      <c r="B28" s="5">
        <f t="shared" si="0"/>
        <v>56060.587499999994</v>
      </c>
      <c r="C28" s="2">
        <f>SUM(C13:C27)</f>
        <v>672727.04999999993</v>
      </c>
    </row>
    <row r="29" spans="1:3" ht="27.75" customHeight="1">
      <c r="A29" s="2" t="s">
        <v>11</v>
      </c>
      <c r="C29" s="1">
        <v>27366.78</v>
      </c>
    </row>
    <row r="30" spans="1:3" ht="33.75" customHeight="1">
      <c r="A30" s="2" t="s">
        <v>12</v>
      </c>
    </row>
    <row r="31" spans="1:3" ht="63.75" customHeight="1">
      <c r="A31" s="3" t="s">
        <v>64</v>
      </c>
      <c r="C31" s="1">
        <v>70071.92</v>
      </c>
    </row>
    <row r="32" spans="1:3" ht="83.25" customHeight="1">
      <c r="A32" s="3" t="s">
        <v>65</v>
      </c>
      <c r="C32" s="1">
        <v>23195.19</v>
      </c>
    </row>
    <row r="33" spans="1:3" ht="15.75">
      <c r="A33" s="2" t="s">
        <v>97</v>
      </c>
      <c r="C33" s="2">
        <v>-65900.33</v>
      </c>
    </row>
    <row r="34" spans="1:3" ht="60.75" customHeight="1">
      <c r="A34" s="1" t="s">
        <v>16</v>
      </c>
    </row>
    <row r="35" spans="1:3" ht="39.75" customHeight="1">
      <c r="A35" s="1" t="s">
        <v>13</v>
      </c>
    </row>
    <row r="36" spans="1:3" ht="36" customHeight="1">
      <c r="A36" s="1" t="s">
        <v>14</v>
      </c>
    </row>
    <row r="37" spans="1:3" ht="24" customHeight="1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B31" sqref="B31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66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-30421.3</v>
      </c>
    </row>
    <row r="9" spans="1:3" ht="53.25" customHeight="1">
      <c r="A9" s="3" t="s">
        <v>32</v>
      </c>
      <c r="B9" s="5">
        <f>C9/12</f>
        <v>41427.985000000001</v>
      </c>
      <c r="C9" s="1">
        <v>497135.82</v>
      </c>
    </row>
    <row r="10" spans="1:3" ht="46.5" customHeight="1">
      <c r="A10" s="3" t="s">
        <v>33</v>
      </c>
      <c r="B10" s="5">
        <f t="shared" ref="B10:B28" si="0">C10/12</f>
        <v>905.30583333333334</v>
      </c>
      <c r="C10" s="1">
        <v>10863.67</v>
      </c>
    </row>
    <row r="11" spans="1:3" ht="18" customHeight="1">
      <c r="A11" s="2" t="s">
        <v>8</v>
      </c>
      <c r="B11" s="5">
        <f t="shared" si="0"/>
        <v>42333.290833333333</v>
      </c>
      <c r="C11" s="2">
        <f>SUM(C9:C10)</f>
        <v>507999.49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10592.929166666667</v>
      </c>
      <c r="C13" s="1">
        <f>103943.11+23172.04</f>
        <v>127115.15</v>
      </c>
    </row>
    <row r="14" spans="1:3" ht="81.75" customHeight="1">
      <c r="A14" s="3" t="s">
        <v>30</v>
      </c>
      <c r="B14" s="5">
        <f t="shared" si="0"/>
        <v>6362.9991666666656</v>
      </c>
      <c r="C14" s="1">
        <f>32337.36+44018.63</f>
        <v>76355.989999999991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144.33333333333334</v>
      </c>
      <c r="C16" s="1">
        <v>1732</v>
      </c>
    </row>
    <row r="17" spans="1:3" ht="14.25" customHeight="1">
      <c r="A17" s="1" t="s">
        <v>18</v>
      </c>
      <c r="B17" s="5">
        <f t="shared" si="0"/>
        <v>1523.2983333333334</v>
      </c>
      <c r="C17" s="1">
        <v>18279.580000000002</v>
      </c>
    </row>
    <row r="18" spans="1:3" ht="14.25" customHeight="1">
      <c r="A18" s="1" t="s">
        <v>19</v>
      </c>
      <c r="B18" s="5">
        <f t="shared" si="0"/>
        <v>117.60000000000001</v>
      </c>
      <c r="C18" s="1">
        <v>1411.2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736.77499999999998</v>
      </c>
      <c r="C20" s="1">
        <v>8841.2999999999993</v>
      </c>
    </row>
    <row r="21" spans="1:3" ht="14.25" customHeight="1">
      <c r="A21" s="1" t="s">
        <v>22</v>
      </c>
      <c r="B21" s="5">
        <f t="shared" si="0"/>
        <v>1885.1316666666669</v>
      </c>
      <c r="C21" s="1">
        <v>22621.58</v>
      </c>
    </row>
    <row r="22" spans="1:3" ht="14.25" customHeight="1">
      <c r="A22" s="1" t="s">
        <v>23</v>
      </c>
      <c r="B22" s="5">
        <f t="shared" si="0"/>
        <v>3373.8349999999996</v>
      </c>
      <c r="C22" s="1">
        <v>40486.019999999997</v>
      </c>
    </row>
    <row r="23" spans="1:3" ht="14.25" customHeight="1">
      <c r="A23" s="1" t="s">
        <v>24</v>
      </c>
      <c r="B23" s="5">
        <f t="shared" si="0"/>
        <v>505.12833333333333</v>
      </c>
      <c r="C23" s="1">
        <v>6061.54</v>
      </c>
    </row>
    <row r="24" spans="1:3" ht="14.25" customHeight="1">
      <c r="A24" s="1" t="s">
        <v>25</v>
      </c>
      <c r="B24" s="5">
        <f t="shared" si="0"/>
        <v>2230.2858333333334</v>
      </c>
      <c r="C24" s="1">
        <v>26763.43</v>
      </c>
    </row>
    <row r="25" spans="1:3" ht="14.25" customHeight="1">
      <c r="A25" s="1" t="s">
        <v>26</v>
      </c>
      <c r="B25" s="5">
        <f t="shared" si="0"/>
        <v>221.50750000000002</v>
      </c>
      <c r="C25" s="1">
        <v>2658.09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8535.5558333333338</v>
      </c>
      <c r="C27" s="1">
        <v>102426.67</v>
      </c>
    </row>
    <row r="28" spans="1:3" ht="14.25" customHeight="1">
      <c r="A28" s="2" t="s">
        <v>10</v>
      </c>
      <c r="B28" s="5">
        <f t="shared" si="0"/>
        <v>36229.379166666666</v>
      </c>
      <c r="C28" s="2">
        <f>SUM(C13:C27)</f>
        <v>434752.55</v>
      </c>
    </row>
    <row r="29" spans="1:3" ht="29.25" customHeight="1">
      <c r="A29" s="2" t="s">
        <v>11</v>
      </c>
      <c r="C29" s="2">
        <v>42825.64</v>
      </c>
    </row>
    <row r="30" spans="1:3" ht="24" customHeight="1">
      <c r="A30" s="2" t="s">
        <v>12</v>
      </c>
    </row>
    <row r="31" spans="1:3" ht="66" customHeight="1">
      <c r="A31" s="3" t="s">
        <v>67</v>
      </c>
      <c r="C31" s="1">
        <v>93394.5</v>
      </c>
    </row>
    <row r="32" spans="1:3" ht="63.75" customHeight="1">
      <c r="A32" s="3" t="s">
        <v>68</v>
      </c>
      <c r="C32" s="1">
        <v>30011.360000000001</v>
      </c>
    </row>
    <row r="33" spans="1:3" ht="34.5" customHeight="1">
      <c r="A33" s="2" t="s">
        <v>101</v>
      </c>
      <c r="C33" s="2">
        <v>-80580.22</v>
      </c>
    </row>
    <row r="34" spans="1:3" ht="79.5" customHeight="1">
      <c r="A34" s="1" t="s">
        <v>16</v>
      </c>
    </row>
    <row r="35" spans="1:3" ht="31.5" customHeight="1">
      <c r="A35" s="1" t="s">
        <v>13</v>
      </c>
    </row>
    <row r="36" spans="1:3" ht="30.75" customHeight="1">
      <c r="A36" s="1" t="s">
        <v>14</v>
      </c>
    </row>
    <row r="37" spans="1:3" ht="37.5" customHeight="1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A33" sqref="A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69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-4119.1000000000004</v>
      </c>
    </row>
    <row r="9" spans="1:3" ht="53.25" customHeight="1">
      <c r="A9" s="3" t="s">
        <v>32</v>
      </c>
      <c r="B9" s="5">
        <f>C9/12</f>
        <v>39817.54583333333</v>
      </c>
      <c r="C9" s="1">
        <v>477810.55</v>
      </c>
    </row>
    <row r="10" spans="1:3" ht="46.5" customHeight="1">
      <c r="A10" s="3" t="s">
        <v>33</v>
      </c>
      <c r="B10" s="5">
        <f t="shared" ref="B10:B28" si="0">C10/12</f>
        <v>1259.325</v>
      </c>
      <c r="C10" s="1">
        <v>15111.9</v>
      </c>
    </row>
    <row r="11" spans="1:3" ht="18" customHeight="1">
      <c r="A11" s="2" t="s">
        <v>8</v>
      </c>
      <c r="B11" s="5">
        <f t="shared" si="0"/>
        <v>41076.870833333334</v>
      </c>
      <c r="C11" s="2">
        <f>SUM(C9:C10)</f>
        <v>492922.45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10507.104166666666</v>
      </c>
      <c r="C13" s="1">
        <f>103100.95+22984.3</f>
        <v>126085.25</v>
      </c>
    </row>
    <row r="14" spans="1:3" ht="81.75" customHeight="1">
      <c r="A14" s="3" t="s">
        <v>30</v>
      </c>
      <c r="B14" s="5">
        <f t="shared" si="0"/>
        <v>6582.5083333333341</v>
      </c>
      <c r="C14" s="1">
        <f>32021.37+46968.73</f>
        <v>78990.100000000006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9448.0833333333339</v>
      </c>
      <c r="C16" s="1">
        <v>113377</v>
      </c>
    </row>
    <row r="17" spans="1:3" ht="14.25" customHeight="1">
      <c r="A17" s="1" t="s">
        <v>18</v>
      </c>
      <c r="B17" s="5">
        <f t="shared" si="0"/>
        <v>1512.3283333333331</v>
      </c>
      <c r="C17" s="1">
        <v>18147.939999999999</v>
      </c>
    </row>
    <row r="18" spans="1:3" ht="14.25" customHeight="1">
      <c r="A18" s="1" t="s">
        <v>19</v>
      </c>
      <c r="B18" s="5">
        <f t="shared" si="0"/>
        <v>171.70000000000002</v>
      </c>
      <c r="C18" s="1">
        <v>2060.4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745.98500000000001</v>
      </c>
      <c r="C20" s="1">
        <v>8951.82</v>
      </c>
    </row>
    <row r="21" spans="1:3" ht="14.25" customHeight="1">
      <c r="A21" s="1" t="s">
        <v>22</v>
      </c>
      <c r="B21" s="5">
        <f t="shared" si="0"/>
        <v>1830.4466666666667</v>
      </c>
      <c r="C21" s="1">
        <v>21965.360000000001</v>
      </c>
    </row>
    <row r="22" spans="1:3" ht="14.25" customHeight="1">
      <c r="A22" s="1" t="s">
        <v>23</v>
      </c>
      <c r="B22" s="5">
        <f t="shared" si="0"/>
        <v>3346.5008333333335</v>
      </c>
      <c r="C22" s="1">
        <v>40158.01</v>
      </c>
    </row>
    <row r="23" spans="1:3" ht="14.25" customHeight="1">
      <c r="A23" s="1" t="s">
        <v>24</v>
      </c>
      <c r="B23" s="5">
        <f t="shared" si="0"/>
        <v>508.22250000000003</v>
      </c>
      <c r="C23" s="1">
        <v>6098.67</v>
      </c>
    </row>
    <row r="24" spans="1:3" ht="14.25" customHeight="1">
      <c r="A24" s="1" t="s">
        <v>25</v>
      </c>
      <c r="B24" s="5">
        <f t="shared" si="0"/>
        <v>2164.0933333333332</v>
      </c>
      <c r="C24" s="1">
        <v>25969.119999999999</v>
      </c>
    </row>
    <row r="25" spans="1:3" ht="14.25" customHeight="1">
      <c r="A25" s="1" t="s">
        <v>26</v>
      </c>
      <c r="B25" s="5">
        <f t="shared" si="0"/>
        <v>221.50750000000002</v>
      </c>
      <c r="C25" s="1">
        <v>2658.09</v>
      </c>
    </row>
    <row r="26" spans="1:3" ht="14.25" customHeight="1">
      <c r="A26" s="1" t="s">
        <v>27</v>
      </c>
      <c r="B26" s="5">
        <f t="shared" si="0"/>
        <v>165</v>
      </c>
      <c r="C26" s="1">
        <v>1980</v>
      </c>
    </row>
    <row r="27" spans="1:3" ht="14.25" customHeight="1">
      <c r="A27" s="1" t="s">
        <v>28</v>
      </c>
      <c r="B27" s="5">
        <f t="shared" si="0"/>
        <v>8468.0483333333341</v>
      </c>
      <c r="C27" s="1">
        <v>101616.58</v>
      </c>
    </row>
    <row r="28" spans="1:3" ht="14.25" customHeight="1">
      <c r="A28" s="2" t="s">
        <v>10</v>
      </c>
      <c r="B28" s="5">
        <f t="shared" si="0"/>
        <v>45671.528333333328</v>
      </c>
      <c r="C28" s="2">
        <f>SUM(C13:C27)</f>
        <v>548058.34</v>
      </c>
    </row>
    <row r="29" spans="1:3" ht="23.25" customHeight="1">
      <c r="A29" s="2" t="s">
        <v>11</v>
      </c>
    </row>
    <row r="30" spans="1:3" ht="24.75" customHeight="1">
      <c r="A30" s="2" t="s">
        <v>12</v>
      </c>
      <c r="C30" s="2">
        <v>59254.99</v>
      </c>
    </row>
    <row r="31" spans="1:3" ht="56.25" customHeight="1">
      <c r="A31" s="3" t="s">
        <v>70</v>
      </c>
      <c r="C31" s="1">
        <v>259280.57</v>
      </c>
    </row>
    <row r="32" spans="1:3" ht="70.5" customHeight="1">
      <c r="A32" s="3" t="s">
        <v>71</v>
      </c>
      <c r="C32" s="1">
        <v>33858.93</v>
      </c>
    </row>
    <row r="33" spans="1:3" ht="33.75" customHeight="1">
      <c r="A33" s="2" t="s">
        <v>100</v>
      </c>
      <c r="C33" s="2">
        <v>352394.49</v>
      </c>
    </row>
    <row r="34" spans="1:3" ht="43.5" customHeight="1">
      <c r="A34" s="1" t="s">
        <v>16</v>
      </c>
    </row>
    <row r="35" spans="1:3" ht="27.75" customHeight="1">
      <c r="A35" s="1" t="s">
        <v>13</v>
      </c>
    </row>
    <row r="36" spans="1:3" ht="31.5" customHeight="1">
      <c r="A36" s="1" t="s">
        <v>14</v>
      </c>
    </row>
    <row r="37" spans="1:3" ht="28.5" customHeight="1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topLeftCell="A23" workbookViewId="0">
      <selection activeCell="C33" sqref="C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72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-795.77</v>
      </c>
    </row>
    <row r="9" spans="1:3" ht="53.25" customHeight="1">
      <c r="A9" s="3" t="s">
        <v>32</v>
      </c>
      <c r="B9" s="5">
        <f>C9/12</f>
        <v>41541.805</v>
      </c>
      <c r="C9" s="1">
        <v>498501.66</v>
      </c>
    </row>
    <row r="10" spans="1:3" ht="46.5" customHeight="1">
      <c r="A10" s="3" t="s">
        <v>33</v>
      </c>
      <c r="B10" s="5">
        <f t="shared" ref="B10:B28" si="0">C10/12</f>
        <v>508.33333333333331</v>
      </c>
      <c r="C10" s="1">
        <v>6100</v>
      </c>
    </row>
    <row r="11" spans="1:3" ht="18" customHeight="1">
      <c r="A11" s="2" t="s">
        <v>8</v>
      </c>
      <c r="B11" s="5">
        <f t="shared" si="0"/>
        <v>42050.138333333329</v>
      </c>
      <c r="C11" s="2">
        <f>SUM(C9:C10)</f>
        <v>504601.66</v>
      </c>
    </row>
    <row r="12" spans="1:3" ht="14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10650.816666666668</v>
      </c>
      <c r="C13" s="1">
        <f>104511.14+23298.66</f>
        <v>127809.8</v>
      </c>
    </row>
    <row r="14" spans="1:3" ht="81.75" customHeight="1">
      <c r="A14" s="3" t="s">
        <v>30</v>
      </c>
      <c r="B14" s="5">
        <f t="shared" si="0"/>
        <v>8765.51</v>
      </c>
      <c r="C14" s="1">
        <f>33196.39+71989.73</f>
        <v>105186.12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1905.8333333333333</v>
      </c>
      <c r="C16" s="1">
        <v>22870</v>
      </c>
    </row>
    <row r="17" spans="1:3" ht="14.25" customHeight="1">
      <c r="A17" s="1" t="s">
        <v>18</v>
      </c>
      <c r="B17" s="5">
        <f t="shared" si="0"/>
        <v>1529.76</v>
      </c>
      <c r="C17" s="1">
        <v>18357.12</v>
      </c>
    </row>
    <row r="18" spans="1:3" ht="14.25" customHeight="1">
      <c r="A18" s="1" t="s">
        <v>19</v>
      </c>
      <c r="B18" s="5">
        <f t="shared" si="0"/>
        <v>171.13</v>
      </c>
      <c r="C18" s="1">
        <v>2053.56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736.77499999999998</v>
      </c>
      <c r="C20" s="1">
        <v>8841.2999999999993</v>
      </c>
    </row>
    <row r="21" spans="1:3" ht="14.25" customHeight="1">
      <c r="A21" s="1" t="s">
        <v>22</v>
      </c>
      <c r="B21" s="5">
        <f t="shared" si="0"/>
        <v>1876.6791666666668</v>
      </c>
      <c r="C21" s="1">
        <v>22520.15</v>
      </c>
    </row>
    <row r="22" spans="1:3" ht="14.25" customHeight="1">
      <c r="A22" s="1" t="s">
        <v>23</v>
      </c>
      <c r="B22" s="5">
        <f t="shared" si="0"/>
        <v>3392.2724999999996</v>
      </c>
      <c r="C22" s="1">
        <v>40707.269999999997</v>
      </c>
    </row>
    <row r="23" spans="1:3" ht="14.25" customHeight="1">
      <c r="A23" s="1" t="s">
        <v>24</v>
      </c>
      <c r="B23" s="5">
        <f t="shared" si="0"/>
        <v>548.46416666666664</v>
      </c>
      <c r="C23" s="1">
        <v>6581.57</v>
      </c>
    </row>
    <row r="24" spans="1:3" ht="14.25" customHeight="1">
      <c r="A24" s="1" t="s">
        <v>25</v>
      </c>
      <c r="B24" s="5">
        <f t="shared" si="0"/>
        <v>2215.3683333333333</v>
      </c>
      <c r="C24" s="1">
        <v>26584.42</v>
      </c>
    </row>
    <row r="25" spans="1:3" ht="14.25" customHeight="1">
      <c r="A25" s="1" t="s">
        <v>26</v>
      </c>
      <c r="B25" s="5">
        <f t="shared" si="0"/>
        <v>221.50750000000002</v>
      </c>
      <c r="C25" s="1">
        <v>2658.09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8564.5974999999999</v>
      </c>
      <c r="C27" s="1">
        <v>102775.17</v>
      </c>
    </row>
    <row r="28" spans="1:3" ht="14.25" customHeight="1">
      <c r="A28" s="2" t="s">
        <v>10</v>
      </c>
      <c r="B28" s="5">
        <f t="shared" si="0"/>
        <v>40578.714166666665</v>
      </c>
      <c r="C28" s="2">
        <f>SUM(C13:C27)</f>
        <v>486944.57</v>
      </c>
    </row>
    <row r="29" spans="1:3" ht="26.25" customHeight="1">
      <c r="A29" s="2" t="s">
        <v>11</v>
      </c>
      <c r="C29" s="2">
        <v>16861.32</v>
      </c>
    </row>
    <row r="30" spans="1:3" ht="30.75" customHeight="1">
      <c r="A30" s="2" t="s">
        <v>12</v>
      </c>
    </row>
    <row r="31" spans="1:3" ht="62.25" customHeight="1">
      <c r="A31" s="3" t="s">
        <v>73</v>
      </c>
      <c r="C31" s="1">
        <v>77094.91</v>
      </c>
    </row>
    <row r="32" spans="1:3" ht="75.75" customHeight="1">
      <c r="A32" s="3" t="s">
        <v>74</v>
      </c>
      <c r="C32" s="1">
        <v>25810.62</v>
      </c>
    </row>
    <row r="33" spans="1:3" ht="15.75">
      <c r="A33" s="2" t="s">
        <v>101</v>
      </c>
      <c r="C33" s="2">
        <v>-86044.21</v>
      </c>
    </row>
    <row r="34" spans="1:3" ht="30.75" customHeight="1">
      <c r="A34" s="1" t="s">
        <v>16</v>
      </c>
    </row>
    <row r="35" spans="1:3" ht="31.5" customHeight="1">
      <c r="A35" s="1" t="s">
        <v>13</v>
      </c>
    </row>
    <row r="36" spans="1:3" ht="23.25" customHeight="1">
      <c r="A36" s="1" t="s">
        <v>14</v>
      </c>
    </row>
    <row r="37" spans="1:3" ht="25.5" customHeight="1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3" sqref="C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75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-49221.71</v>
      </c>
    </row>
    <row r="9" spans="1:3" ht="53.25" customHeight="1">
      <c r="A9" s="3" t="s">
        <v>32</v>
      </c>
      <c r="B9" s="5">
        <f>C9/12</f>
        <v>40997.811666666668</v>
      </c>
      <c r="C9" s="1">
        <v>491973.74</v>
      </c>
    </row>
    <row r="10" spans="1:3" ht="46.5" customHeight="1">
      <c r="A10" s="3" t="s">
        <v>33</v>
      </c>
      <c r="B10" s="5">
        <f t="shared" ref="B10:B28" si="0">C10/12</f>
        <v>862.35249999999996</v>
      </c>
      <c r="C10" s="1">
        <v>10348.23</v>
      </c>
    </row>
    <row r="11" spans="1:3" ht="18" customHeight="1">
      <c r="A11" s="2" t="s">
        <v>8</v>
      </c>
      <c r="B11" s="5">
        <f t="shared" si="0"/>
        <v>41860.164166666662</v>
      </c>
      <c r="C11" s="2">
        <f>SUM(C9:C10)</f>
        <v>502321.97</v>
      </c>
    </row>
    <row r="12" spans="1:3" ht="14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10575.36</v>
      </c>
      <c r="C13" s="1">
        <f>103770.72+23133.6</f>
        <v>126904.32000000001</v>
      </c>
    </row>
    <row r="14" spans="1:3" ht="81.75" customHeight="1">
      <c r="A14" s="3" t="s">
        <v>30</v>
      </c>
      <c r="B14" s="5">
        <f t="shared" si="0"/>
        <v>7302.5550000000003</v>
      </c>
      <c r="C14" s="1">
        <f>33561.73+54068.93</f>
        <v>87630.66</v>
      </c>
    </row>
    <row r="15" spans="1:3" ht="66" customHeight="1">
      <c r="A15" s="3" t="s">
        <v>31</v>
      </c>
      <c r="B15" s="5">
        <f t="shared" si="0"/>
        <v>0</v>
      </c>
    </row>
    <row r="16" spans="1:3" ht="16.5" customHeight="1">
      <c r="A16" s="1" t="s">
        <v>17</v>
      </c>
      <c r="B16" s="5">
        <f t="shared" si="0"/>
        <v>758.91666666666663</v>
      </c>
      <c r="C16" s="1">
        <v>9107</v>
      </c>
    </row>
    <row r="17" spans="1:3" ht="14.25" customHeight="1">
      <c r="A17" s="1" t="s">
        <v>18</v>
      </c>
      <c r="B17" s="5">
        <f t="shared" si="0"/>
        <v>1516.2416666666668</v>
      </c>
      <c r="C17" s="1">
        <v>18194.900000000001</v>
      </c>
    </row>
    <row r="18" spans="1:3" ht="14.25" customHeight="1">
      <c r="A18" s="1" t="s">
        <v>19</v>
      </c>
      <c r="B18" s="5">
        <f t="shared" si="0"/>
        <v>509.06166666666667</v>
      </c>
      <c r="C18" s="1">
        <v>6108.74</v>
      </c>
    </row>
    <row r="19" spans="1:3" ht="14.25" customHeight="1">
      <c r="A19" s="1" t="s">
        <v>20</v>
      </c>
      <c r="B19" s="5">
        <f t="shared" si="0"/>
        <v>0</v>
      </c>
    </row>
    <row r="20" spans="1:3" ht="14.25" customHeight="1">
      <c r="A20" s="1" t="s">
        <v>21</v>
      </c>
      <c r="B20" s="5">
        <f t="shared" si="0"/>
        <v>736.77499999999998</v>
      </c>
      <c r="C20" s="1">
        <v>8841.2999999999993</v>
      </c>
    </row>
    <row r="21" spans="1:3" ht="14.25" customHeight="1">
      <c r="A21" s="1" t="s">
        <v>22</v>
      </c>
      <c r="B21" s="5">
        <f t="shared" si="0"/>
        <v>1865.1674999999998</v>
      </c>
      <c r="C21" s="1">
        <v>22382.01</v>
      </c>
    </row>
    <row r="22" spans="1:3" ht="14.25" customHeight="1">
      <c r="A22" s="1" t="s">
        <v>23</v>
      </c>
      <c r="B22" s="5">
        <f t="shared" si="0"/>
        <v>3368.24</v>
      </c>
      <c r="C22" s="1">
        <v>40418.879999999997</v>
      </c>
    </row>
    <row r="23" spans="1:3" ht="14.25" customHeight="1">
      <c r="A23" s="1" t="s">
        <v>24</v>
      </c>
      <c r="B23" s="5">
        <f t="shared" si="0"/>
        <v>590.34666666666669</v>
      </c>
      <c r="C23" s="1">
        <v>7084.16</v>
      </c>
    </row>
    <row r="24" spans="1:3" ht="14.25" customHeight="1">
      <c r="A24" s="1" t="s">
        <v>25</v>
      </c>
      <c r="B24" s="5">
        <f t="shared" si="0"/>
        <v>2205.36</v>
      </c>
      <c r="C24" s="1">
        <v>26464.32</v>
      </c>
    </row>
    <row r="25" spans="1:3" ht="14.25" customHeight="1">
      <c r="A25" s="1" t="s">
        <v>26</v>
      </c>
      <c r="B25" s="5">
        <f t="shared" si="0"/>
        <v>221.50750000000002</v>
      </c>
      <c r="C25" s="1">
        <v>2658.09</v>
      </c>
    </row>
    <row r="26" spans="1:3" ht="14.25" customHeight="1">
      <c r="A26" s="1" t="s">
        <v>27</v>
      </c>
      <c r="B26" s="5">
        <f t="shared" si="0"/>
        <v>0</v>
      </c>
    </row>
    <row r="27" spans="1:3" ht="14.25" customHeight="1">
      <c r="A27" s="1" t="s">
        <v>28</v>
      </c>
      <c r="B27" s="5">
        <f t="shared" si="0"/>
        <v>8488.4274999999998</v>
      </c>
      <c r="C27" s="1">
        <v>101861.13</v>
      </c>
    </row>
    <row r="28" spans="1:3" ht="14.25" customHeight="1">
      <c r="A28" s="2" t="s">
        <v>10</v>
      </c>
      <c r="B28" s="5">
        <f t="shared" si="0"/>
        <v>38137.959166666667</v>
      </c>
      <c r="C28" s="2">
        <f>SUM(C13:C27)</f>
        <v>457655.51</v>
      </c>
    </row>
    <row r="29" spans="1:3" ht="25.5" customHeight="1">
      <c r="A29" s="2" t="s">
        <v>11</v>
      </c>
    </row>
    <row r="30" spans="1:3" ht="31.5" customHeight="1">
      <c r="A30" s="2" t="s">
        <v>12</v>
      </c>
      <c r="C30" s="2">
        <v>4555.28</v>
      </c>
    </row>
    <row r="31" spans="1:3" ht="63" customHeight="1">
      <c r="A31" s="3" t="s">
        <v>76</v>
      </c>
      <c r="C31" s="1">
        <v>73174.62</v>
      </c>
    </row>
    <row r="32" spans="1:3" ht="70.5" customHeight="1">
      <c r="A32" s="3" t="s">
        <v>77</v>
      </c>
      <c r="C32" s="1">
        <v>24226.41</v>
      </c>
    </row>
    <row r="33" spans="1:3" ht="15.75">
      <c r="A33" s="2" t="s">
        <v>101</v>
      </c>
      <c r="C33" s="2">
        <v>-101956.31</v>
      </c>
    </row>
    <row r="34" spans="1:3" ht="82.5" customHeight="1">
      <c r="A34" s="1" t="s">
        <v>16</v>
      </c>
    </row>
    <row r="35" spans="1:3" ht="39" customHeight="1">
      <c r="A35" s="1" t="s">
        <v>13</v>
      </c>
    </row>
    <row r="36" spans="1:3" ht="27" customHeight="1">
      <c r="A36" s="1" t="s">
        <v>14</v>
      </c>
    </row>
    <row r="37" spans="1:3" ht="27.75" customHeight="1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topLeftCell="A29" workbookViewId="0">
      <selection activeCell="A33" sqref="A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78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5.7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-6792.26</v>
      </c>
    </row>
    <row r="9" spans="1:3" ht="53.25" customHeight="1">
      <c r="A9" s="3" t="s">
        <v>32</v>
      </c>
      <c r="B9" s="5">
        <f>C9/12</f>
        <v>40093.075000000004</v>
      </c>
      <c r="C9" s="1">
        <v>481116.9</v>
      </c>
    </row>
    <row r="10" spans="1:3" ht="46.5" customHeight="1">
      <c r="A10" s="3" t="s">
        <v>33</v>
      </c>
      <c r="B10" s="5">
        <f t="shared" ref="B10:B28" si="0">C10/12</f>
        <v>1259.325</v>
      </c>
      <c r="C10" s="1">
        <v>15111.9</v>
      </c>
    </row>
    <row r="11" spans="1:3" ht="18" customHeight="1">
      <c r="A11" s="2" t="s">
        <v>8</v>
      </c>
      <c r="B11" s="5">
        <f t="shared" si="0"/>
        <v>41352.400000000001</v>
      </c>
      <c r="C11" s="2">
        <f>SUM(C9:C10)</f>
        <v>496228.80000000005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10720.224166666667</v>
      </c>
      <c r="C13" s="1">
        <f>105192.19+23450.5</f>
        <v>128642.69</v>
      </c>
    </row>
    <row r="14" spans="1:3" ht="81.75" customHeight="1">
      <c r="A14" s="3" t="s">
        <v>30</v>
      </c>
      <c r="B14" s="5">
        <f t="shared" si="0"/>
        <v>10213.816666666666</v>
      </c>
      <c r="C14" s="1">
        <f>37531.07+85034.73</f>
        <v>122565.79999999999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3429.5833333333335</v>
      </c>
      <c r="C16" s="1">
        <v>41155</v>
      </c>
    </row>
    <row r="17" spans="1:3" ht="15" customHeight="1">
      <c r="A17" s="1" t="s">
        <v>18</v>
      </c>
      <c r="B17" s="5">
        <f t="shared" si="0"/>
        <v>1520.3866666666665</v>
      </c>
      <c r="C17" s="1">
        <v>18244.64</v>
      </c>
    </row>
    <row r="18" spans="1:3" ht="15.75" customHeight="1">
      <c r="A18" s="1" t="s">
        <v>19</v>
      </c>
      <c r="B18" s="5">
        <f t="shared" si="0"/>
        <v>168.34666666666666</v>
      </c>
      <c r="C18" s="1">
        <v>2020.16</v>
      </c>
    </row>
    <row r="19" spans="1:3" ht="17.25" customHeight="1">
      <c r="A19" s="1" t="s">
        <v>20</v>
      </c>
      <c r="B19" s="5"/>
    </row>
    <row r="20" spans="1:3" ht="16.5" customHeight="1">
      <c r="A20" s="1" t="s">
        <v>21</v>
      </c>
      <c r="B20" s="5">
        <f t="shared" si="0"/>
        <v>736.77499999999998</v>
      </c>
      <c r="C20" s="1">
        <v>8841.2999999999993</v>
      </c>
    </row>
    <row r="21" spans="1:3" ht="15" customHeight="1">
      <c r="A21" s="1" t="s">
        <v>22</v>
      </c>
      <c r="B21" s="5">
        <f t="shared" si="0"/>
        <v>1841.1316666666669</v>
      </c>
      <c r="C21" s="1">
        <v>22093.58</v>
      </c>
    </row>
    <row r="22" spans="1:3" ht="15.75" customHeight="1">
      <c r="A22" s="1" t="s">
        <v>23</v>
      </c>
      <c r="B22" s="5">
        <f t="shared" si="0"/>
        <v>3414.3791666666671</v>
      </c>
      <c r="C22" s="1">
        <v>40972.550000000003</v>
      </c>
    </row>
    <row r="23" spans="1:3" ht="18" customHeight="1">
      <c r="A23" s="1" t="s">
        <v>24</v>
      </c>
      <c r="B23" s="5">
        <f t="shared" si="0"/>
        <v>505.12833333333333</v>
      </c>
      <c r="C23" s="1">
        <v>6061.54</v>
      </c>
    </row>
    <row r="24" spans="1:3" ht="14.25" customHeight="1">
      <c r="A24" s="1" t="s">
        <v>25</v>
      </c>
      <c r="B24" s="5">
        <f t="shared" si="0"/>
        <v>2178.6091666666666</v>
      </c>
      <c r="C24" s="1">
        <v>26143.31</v>
      </c>
    </row>
    <row r="25" spans="1:3" ht="17.25" customHeight="1">
      <c r="A25" s="1" t="s">
        <v>26</v>
      </c>
      <c r="B25" s="5">
        <f t="shared" si="0"/>
        <v>242.06500000000003</v>
      </c>
      <c r="C25" s="1">
        <v>2904.78</v>
      </c>
    </row>
    <row r="26" spans="1:3" ht="16.5" customHeight="1">
      <c r="A26" s="1" t="s">
        <v>27</v>
      </c>
      <c r="B26" s="5">
        <f t="shared" si="0"/>
        <v>262.5</v>
      </c>
      <c r="C26" s="1">
        <v>3150</v>
      </c>
    </row>
    <row r="27" spans="1:3" ht="18" customHeight="1">
      <c r="A27" s="1" t="s">
        <v>28</v>
      </c>
      <c r="B27" s="5">
        <f t="shared" si="0"/>
        <v>8514.1574999999993</v>
      </c>
      <c r="C27" s="1">
        <v>102169.89</v>
      </c>
    </row>
    <row r="28" spans="1:3" ht="19.5" customHeight="1">
      <c r="A28" s="2" t="s">
        <v>10</v>
      </c>
      <c r="B28" s="5">
        <f t="shared" si="0"/>
        <v>43747.103333333333</v>
      </c>
      <c r="C28" s="2">
        <f>SUM(C13:C27)</f>
        <v>524965.24</v>
      </c>
    </row>
    <row r="29" spans="1:3" ht="15" customHeight="1">
      <c r="A29" s="2" t="s">
        <v>11</v>
      </c>
    </row>
    <row r="30" spans="1:3" ht="27" customHeight="1">
      <c r="A30" s="2" t="s">
        <v>12</v>
      </c>
      <c r="C30" s="2">
        <v>35528.699999999997</v>
      </c>
    </row>
    <row r="31" spans="1:3" ht="64.5" customHeight="1">
      <c r="A31" s="3" t="s">
        <v>79</v>
      </c>
      <c r="C31" s="1">
        <v>252748.27</v>
      </c>
    </row>
    <row r="32" spans="1:3" ht="65.25" customHeight="1">
      <c r="A32" s="3" t="s">
        <v>80</v>
      </c>
      <c r="C32" s="1">
        <v>22537.87</v>
      </c>
    </row>
    <row r="33" spans="1:3" ht="21.75" customHeight="1">
      <c r="A33" s="2" t="s">
        <v>101</v>
      </c>
      <c r="C33" s="2">
        <v>310814.84000000003</v>
      </c>
    </row>
    <row r="34" spans="1:3" ht="60" customHeight="1">
      <c r="A34" s="1" t="s">
        <v>16</v>
      </c>
    </row>
    <row r="35" spans="1:3" ht="37.5" customHeight="1">
      <c r="A35" s="1" t="s">
        <v>13</v>
      </c>
    </row>
    <row r="36" spans="1:3" ht="29.25" customHeight="1">
      <c r="A36" s="1" t="s">
        <v>14</v>
      </c>
    </row>
    <row r="37" spans="1:3" ht="30.75" customHeight="1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7"/>
  <sheetViews>
    <sheetView topLeftCell="A34" workbookViewId="0">
      <selection activeCell="C33" sqref="C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81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7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22760.639999999999</v>
      </c>
    </row>
    <row r="9" spans="1:3" ht="53.25" customHeight="1">
      <c r="A9" s="3" t="s">
        <v>32</v>
      </c>
      <c r="B9" s="5">
        <f>C9/12</f>
        <v>41148.811666666668</v>
      </c>
      <c r="C9" s="1">
        <v>493785.74</v>
      </c>
    </row>
    <row r="10" spans="1:3" ht="46.5" customHeight="1">
      <c r="A10" s="3" t="s">
        <v>33</v>
      </c>
      <c r="B10" s="5">
        <f t="shared" ref="B10:B28" si="0">C10/12</f>
        <v>1259.325</v>
      </c>
      <c r="C10" s="1">
        <v>15111.9</v>
      </c>
    </row>
    <row r="11" spans="1:3" ht="18" customHeight="1">
      <c r="A11" s="2" t="s">
        <v>8</v>
      </c>
      <c r="B11" s="5">
        <f t="shared" si="0"/>
        <v>42408.136666666665</v>
      </c>
      <c r="C11" s="2">
        <f>SUM(C9:C10)</f>
        <v>508897.64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10516.031666666668</v>
      </c>
      <c r="C13" s="1">
        <f>103188.56+23003.82</f>
        <v>126192.38</v>
      </c>
    </row>
    <row r="14" spans="1:3" ht="81.75" customHeight="1">
      <c r="A14" s="3" t="s">
        <v>30</v>
      </c>
      <c r="B14" s="5">
        <f t="shared" si="0"/>
        <v>7481.6033333333326</v>
      </c>
      <c r="C14" s="1">
        <f>32406.47+57372.77</f>
        <v>89779.239999999991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1802.6666666666667</v>
      </c>
      <c r="C16" s="1">
        <v>21632</v>
      </c>
    </row>
    <row r="17" spans="1:3" ht="15.75">
      <c r="A17" s="1" t="s">
        <v>18</v>
      </c>
      <c r="B17" s="5">
        <f t="shared" si="0"/>
        <v>1512.0566666666666</v>
      </c>
      <c r="C17" s="1">
        <v>18144.68</v>
      </c>
    </row>
    <row r="18" spans="1:3" ht="15.75">
      <c r="A18" s="1" t="s">
        <v>19</v>
      </c>
      <c r="B18" s="5">
        <f t="shared" si="0"/>
        <v>324.76166666666666</v>
      </c>
      <c r="C18" s="1">
        <v>3897.14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736.77499999999998</v>
      </c>
      <c r="C20" s="1">
        <v>8841.2999999999993</v>
      </c>
    </row>
    <row r="21" spans="1:3" ht="15.75">
      <c r="A21" s="1" t="s">
        <v>22</v>
      </c>
      <c r="B21" s="5">
        <f t="shared" si="0"/>
        <v>1880.5883333333334</v>
      </c>
      <c r="C21" s="1">
        <v>22567.06</v>
      </c>
    </row>
    <row r="22" spans="1:3" ht="15.75">
      <c r="A22" s="1" t="s">
        <v>23</v>
      </c>
      <c r="B22" s="5">
        <f t="shared" si="0"/>
        <v>3349.3441666666663</v>
      </c>
      <c r="C22" s="1">
        <v>40192.129999999997</v>
      </c>
    </row>
    <row r="23" spans="1:3" ht="15.75">
      <c r="A23" s="1" t="s">
        <v>24</v>
      </c>
      <c r="B23" s="5">
        <f t="shared" si="0"/>
        <v>508.22250000000003</v>
      </c>
      <c r="C23" s="1">
        <v>6098.67</v>
      </c>
    </row>
    <row r="24" spans="1:3" ht="15.75">
      <c r="A24" s="1" t="s">
        <v>25</v>
      </c>
      <c r="B24" s="5">
        <f t="shared" si="0"/>
        <v>2234.2291666666665</v>
      </c>
      <c r="C24" s="1">
        <v>26810.75</v>
      </c>
    </row>
    <row r="25" spans="1:3" ht="15.75">
      <c r="A25" s="1" t="s">
        <v>26</v>
      </c>
      <c r="B25" s="5">
        <f t="shared" si="0"/>
        <v>241.83249999999998</v>
      </c>
      <c r="C25" s="1">
        <v>2901.99</v>
      </c>
    </row>
    <row r="26" spans="1:3" ht="15.75">
      <c r="A26" s="1" t="s">
        <v>27</v>
      </c>
      <c r="B26" s="5"/>
    </row>
    <row r="27" spans="1:3" ht="15.75">
      <c r="A27" s="1" t="s">
        <v>28</v>
      </c>
      <c r="B27" s="5">
        <f t="shared" si="0"/>
        <v>8467.0291666666672</v>
      </c>
      <c r="C27" s="1">
        <v>101604.35</v>
      </c>
    </row>
    <row r="28" spans="1:3" ht="15.75">
      <c r="A28" s="2" t="s">
        <v>10</v>
      </c>
      <c r="B28" s="5">
        <f t="shared" si="0"/>
        <v>39055.140833333331</v>
      </c>
      <c r="C28" s="2">
        <f>SUM(C13:C27)</f>
        <v>468661.68999999994</v>
      </c>
    </row>
    <row r="29" spans="1:3" ht="27.75" customHeight="1">
      <c r="A29" s="2" t="s">
        <v>11</v>
      </c>
      <c r="C29" s="2">
        <v>62996.59</v>
      </c>
    </row>
    <row r="30" spans="1:3" ht="24.75" customHeight="1">
      <c r="A30" s="2" t="s">
        <v>12</v>
      </c>
    </row>
    <row r="31" spans="1:3" ht="64.5" customHeight="1">
      <c r="A31" s="3" t="s">
        <v>82</v>
      </c>
      <c r="C31" s="1">
        <v>148488.12</v>
      </c>
    </row>
    <row r="32" spans="1:3" ht="86.25" customHeight="1">
      <c r="A32" s="3" t="s">
        <v>83</v>
      </c>
      <c r="C32" s="1">
        <v>9404.75</v>
      </c>
    </row>
    <row r="33" spans="1:3" ht="15.75">
      <c r="A33" s="2" t="s">
        <v>100</v>
      </c>
      <c r="C33" s="2">
        <v>-94896.28</v>
      </c>
    </row>
    <row r="34" spans="1:3" ht="54.75" customHeight="1">
      <c r="A34" s="1" t="s">
        <v>16</v>
      </c>
    </row>
    <row r="35" spans="1:3" ht="51.75" customHeight="1">
      <c r="A35" s="1" t="s">
        <v>13</v>
      </c>
    </row>
    <row r="36" spans="1:3" ht="28.5" customHeight="1">
      <c r="A36" s="1" t="s">
        <v>14</v>
      </c>
    </row>
    <row r="37" spans="1:3" ht="36" customHeight="1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A33" sqref="A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84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15.7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-78271.820000000007</v>
      </c>
    </row>
    <row r="9" spans="1:3" ht="53.25" customHeight="1">
      <c r="A9" s="3" t="s">
        <v>32</v>
      </c>
      <c r="B9" s="5">
        <f>C9/12</f>
        <v>31109.578333333335</v>
      </c>
      <c r="C9" s="1">
        <v>373314.94</v>
      </c>
    </row>
    <row r="10" spans="1:3" ht="46.5" customHeight="1">
      <c r="A10" s="3" t="s">
        <v>33</v>
      </c>
      <c r="B10" s="5">
        <f t="shared" ref="B10:B28" si="0">C10/12</f>
        <v>1259.325</v>
      </c>
      <c r="C10" s="1">
        <v>15111.9</v>
      </c>
    </row>
    <row r="11" spans="1:3" ht="18" customHeight="1">
      <c r="A11" s="2" t="s">
        <v>8</v>
      </c>
      <c r="B11" s="5">
        <f t="shared" si="0"/>
        <v>32368.903333333335</v>
      </c>
      <c r="C11" s="2">
        <f>SUM(C9:C10)</f>
        <v>388426.84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7943.9041666666672</v>
      </c>
      <c r="C13" s="1">
        <f>77949.55+17377.3</f>
        <v>95326.85</v>
      </c>
    </row>
    <row r="14" spans="1:3" ht="81.75" customHeight="1">
      <c r="A14" s="3" t="s">
        <v>30</v>
      </c>
      <c r="B14" s="5">
        <f t="shared" si="0"/>
        <v>5822.4616666666661</v>
      </c>
      <c r="C14" s="1">
        <f>19521.01+50348.53</f>
        <v>69869.539999999994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2290.3333333333335</v>
      </c>
      <c r="C16" s="1">
        <v>27484</v>
      </c>
    </row>
    <row r="17" spans="1:3" ht="15.75">
      <c r="A17" s="1" t="s">
        <v>18</v>
      </c>
      <c r="B17" s="5">
        <f t="shared" si="0"/>
        <v>1164.345</v>
      </c>
      <c r="C17" s="1">
        <v>13972.14</v>
      </c>
    </row>
    <row r="18" spans="1:3" ht="15.75">
      <c r="A18" s="1" t="s">
        <v>19</v>
      </c>
      <c r="B18" s="5">
        <f t="shared" si="0"/>
        <v>88.2</v>
      </c>
      <c r="C18" s="1">
        <v>1058.4000000000001</v>
      </c>
    </row>
    <row r="19" spans="1:3" ht="15.75">
      <c r="A19" s="1" t="s">
        <v>20</v>
      </c>
      <c r="B19" s="5">
        <f t="shared" si="0"/>
        <v>0</v>
      </c>
    </row>
    <row r="20" spans="1:3" ht="15.75">
      <c r="A20" s="1" t="s">
        <v>21</v>
      </c>
      <c r="B20" s="5">
        <f t="shared" si="0"/>
        <v>460.48416666666668</v>
      </c>
      <c r="C20" s="1">
        <v>5525.81</v>
      </c>
    </row>
    <row r="21" spans="1:3" ht="15.75">
      <c r="A21" s="1" t="s">
        <v>22</v>
      </c>
      <c r="B21" s="5">
        <f t="shared" si="0"/>
        <v>1432.7683333333334</v>
      </c>
      <c r="C21" s="1">
        <v>17193.22</v>
      </c>
    </row>
    <row r="22" spans="1:3" ht="15.75">
      <c r="A22" s="1" t="s">
        <v>23</v>
      </c>
      <c r="B22" s="5">
        <f t="shared" si="0"/>
        <v>2530.124166666667</v>
      </c>
      <c r="C22" s="1">
        <v>30361.49</v>
      </c>
    </row>
    <row r="23" spans="1:3" ht="15.75">
      <c r="A23" s="1" t="s">
        <v>24</v>
      </c>
      <c r="B23" s="5">
        <f t="shared" si="0"/>
        <v>344.95250000000004</v>
      </c>
      <c r="C23" s="1">
        <v>4139.43</v>
      </c>
    </row>
    <row r="24" spans="1:3" ht="15.75">
      <c r="A24" s="1" t="s">
        <v>25</v>
      </c>
      <c r="B24" s="5">
        <f t="shared" si="0"/>
        <v>1705.3225</v>
      </c>
      <c r="C24" s="1">
        <v>20463.87</v>
      </c>
    </row>
    <row r="25" spans="1:3" ht="15.75">
      <c r="A25" s="1" t="s">
        <v>26</v>
      </c>
      <c r="B25" s="5">
        <f t="shared" si="0"/>
        <v>170.56916666666666</v>
      </c>
      <c r="C25" s="1">
        <v>2046.83</v>
      </c>
    </row>
    <row r="26" spans="1:3" ht="15.75">
      <c r="A26" s="1" t="s">
        <v>27</v>
      </c>
      <c r="B26" s="5">
        <f t="shared" si="0"/>
        <v>0</v>
      </c>
    </row>
    <row r="27" spans="1:3" ht="15.75">
      <c r="A27" s="1" t="s">
        <v>28</v>
      </c>
      <c r="B27" s="5">
        <f t="shared" si="0"/>
        <v>6523.0541666666659</v>
      </c>
      <c r="C27" s="1">
        <v>78276.649999999994</v>
      </c>
    </row>
    <row r="28" spans="1:3" ht="15.75">
      <c r="A28" s="2" t="s">
        <v>10</v>
      </c>
      <c r="B28" s="5">
        <f t="shared" si="0"/>
        <v>30476.519166666665</v>
      </c>
      <c r="C28" s="2">
        <f>SUM(C13:C27)</f>
        <v>365718.23</v>
      </c>
    </row>
    <row r="29" spans="1:3" ht="28.5" customHeight="1">
      <c r="A29" s="2" t="s">
        <v>11</v>
      </c>
    </row>
    <row r="30" spans="1:3" ht="27" customHeight="1">
      <c r="A30" s="2" t="s">
        <v>12</v>
      </c>
      <c r="C30" s="2">
        <v>55563.21</v>
      </c>
    </row>
    <row r="31" spans="1:3" ht="62.25" customHeight="1">
      <c r="A31" s="3" t="s">
        <v>85</v>
      </c>
    </row>
    <row r="32" spans="1:3" ht="77.25" customHeight="1">
      <c r="A32" s="3" t="s">
        <v>61</v>
      </c>
    </row>
    <row r="33" spans="1:3" ht="15.75">
      <c r="A33" s="2" t="s">
        <v>100</v>
      </c>
      <c r="C33" s="2">
        <v>132753.29999999999</v>
      </c>
    </row>
    <row r="34" spans="1:3" ht="60" customHeight="1">
      <c r="A34" s="1" t="s">
        <v>16</v>
      </c>
    </row>
    <row r="35" spans="1:3" ht="25.5" customHeight="1">
      <c r="A35" s="1" t="s">
        <v>13</v>
      </c>
    </row>
    <row r="36" spans="1:3" ht="26.25" customHeight="1">
      <c r="A36" s="1" t="s">
        <v>14</v>
      </c>
    </row>
    <row r="37" spans="1:3" ht="29.25" customHeight="1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3" sqref="C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86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-98368.54</v>
      </c>
    </row>
    <row r="9" spans="1:3" ht="53.25" customHeight="1">
      <c r="A9" s="3" t="s">
        <v>32</v>
      </c>
      <c r="B9" s="5">
        <f>C9/12</f>
        <v>36073.902500000004</v>
      </c>
      <c r="C9" s="1">
        <v>432886.83</v>
      </c>
    </row>
    <row r="10" spans="1:3" ht="46.5" customHeight="1">
      <c r="A10" s="3" t="s">
        <v>33</v>
      </c>
      <c r="B10" s="5">
        <f t="shared" ref="B10:B28" si="0">C10/12</f>
        <v>3197.7333333333336</v>
      </c>
      <c r="C10" s="1">
        <f>27509.13+10863.67</f>
        <v>38372.800000000003</v>
      </c>
    </row>
    <row r="11" spans="1:3" ht="18" customHeight="1">
      <c r="A11" s="2" t="s">
        <v>8</v>
      </c>
      <c r="B11" s="5">
        <f t="shared" si="0"/>
        <v>39271.635833333334</v>
      </c>
      <c r="C11" s="2">
        <f>SUM(C9:C10)</f>
        <v>471259.63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10085.76</v>
      </c>
      <c r="C13" s="1">
        <f>98966.52+22062.6</f>
        <v>121029.12</v>
      </c>
    </row>
    <row r="14" spans="1:3" ht="81.75" customHeight="1">
      <c r="A14" s="3" t="s">
        <v>30</v>
      </c>
      <c r="B14" s="5">
        <f t="shared" si="0"/>
        <v>9108.6891666666652</v>
      </c>
      <c r="C14" s="1">
        <f>26758.54+82545.73</f>
        <v>109304.26999999999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1262.3333333333333</v>
      </c>
      <c r="C16" s="1">
        <v>15148</v>
      </c>
    </row>
    <row r="17" spans="1:3" ht="15.75">
      <c r="A17" s="1" t="s">
        <v>18</v>
      </c>
      <c r="B17" s="5">
        <f t="shared" si="0"/>
        <v>1470.1966666666667</v>
      </c>
      <c r="C17" s="1">
        <v>17642.36</v>
      </c>
    </row>
    <row r="18" spans="1:3" ht="15.75">
      <c r="A18" s="1" t="s">
        <v>19</v>
      </c>
      <c r="B18" s="5">
        <f t="shared" si="0"/>
        <v>310.68</v>
      </c>
      <c r="C18" s="1">
        <v>3728.16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690.72666666666657</v>
      </c>
      <c r="C20" s="1">
        <v>8288.7199999999993</v>
      </c>
    </row>
    <row r="21" spans="1:3" ht="15.75">
      <c r="A21" s="1" t="s">
        <v>22</v>
      </c>
      <c r="B21" s="5">
        <f t="shared" si="0"/>
        <v>1746.5308333333332</v>
      </c>
      <c r="C21" s="1">
        <v>20958.37</v>
      </c>
    </row>
    <row r="22" spans="1:3" ht="15.75">
      <c r="A22" s="1" t="s">
        <v>23</v>
      </c>
      <c r="B22" s="5">
        <f t="shared" si="0"/>
        <v>3212.3024999999998</v>
      </c>
      <c r="C22" s="1">
        <v>38547.629999999997</v>
      </c>
    </row>
    <row r="23" spans="1:3" ht="15.75">
      <c r="A23" s="1" t="s">
        <v>24</v>
      </c>
      <c r="B23" s="5">
        <f t="shared" si="0"/>
        <v>486.56083333333328</v>
      </c>
      <c r="C23" s="1">
        <v>5838.73</v>
      </c>
    </row>
    <row r="24" spans="1:3" ht="15.75">
      <c r="A24" s="1" t="s">
        <v>25</v>
      </c>
      <c r="B24" s="5">
        <f t="shared" si="0"/>
        <v>2068.9858333333336</v>
      </c>
      <c r="C24" s="1">
        <v>24827.83</v>
      </c>
    </row>
    <row r="25" spans="1:3" ht="15.75">
      <c r="A25" s="1" t="s">
        <v>26</v>
      </c>
      <c r="B25" s="5">
        <f t="shared" si="0"/>
        <v>242.76416666666668</v>
      </c>
      <c r="C25" s="1">
        <v>2913.17</v>
      </c>
    </row>
    <row r="26" spans="1:3" ht="15.75">
      <c r="A26" s="1" t="s">
        <v>27</v>
      </c>
      <c r="B26" s="5">
        <f t="shared" si="0"/>
        <v>1819.1666666666667</v>
      </c>
      <c r="C26" s="1">
        <v>21830</v>
      </c>
    </row>
    <row r="27" spans="1:3" ht="15.75">
      <c r="A27" s="1" t="s">
        <v>28</v>
      </c>
      <c r="B27" s="5">
        <f t="shared" si="0"/>
        <v>8125.1583333333328</v>
      </c>
      <c r="C27" s="1">
        <v>97501.9</v>
      </c>
    </row>
    <row r="28" spans="1:3" ht="15.75">
      <c r="A28" s="2" t="s">
        <v>10</v>
      </c>
      <c r="B28" s="5">
        <f t="shared" si="0"/>
        <v>40629.854999999989</v>
      </c>
      <c r="C28" s="2">
        <f>SUM(C13:C27)</f>
        <v>487558.25999999989</v>
      </c>
    </row>
    <row r="29" spans="1:3" ht="23.25" customHeight="1">
      <c r="A29" s="2" t="s">
        <v>11</v>
      </c>
    </row>
    <row r="30" spans="1:3" ht="24.75" customHeight="1">
      <c r="A30" s="2" t="s">
        <v>12</v>
      </c>
      <c r="C30" s="2">
        <v>114667.17</v>
      </c>
    </row>
    <row r="31" spans="1:3" ht="57.75" customHeight="1">
      <c r="A31" s="3" t="s">
        <v>87</v>
      </c>
      <c r="C31" s="1">
        <v>85907.53</v>
      </c>
    </row>
    <row r="32" spans="1:3" ht="78" customHeight="1">
      <c r="A32" s="3" t="s">
        <v>88</v>
      </c>
      <c r="C32" s="1">
        <v>34169.81</v>
      </c>
    </row>
    <row r="33" spans="1:3" ht="15.75">
      <c r="A33" s="2" t="s">
        <v>100</v>
      </c>
      <c r="C33" s="2">
        <v>-234744.51</v>
      </c>
    </row>
    <row r="34" spans="1:3" ht="56.25" customHeight="1">
      <c r="A34" s="1" t="s">
        <v>16</v>
      </c>
    </row>
    <row r="35" spans="1:3" ht="53.2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89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1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-34755.86</v>
      </c>
    </row>
    <row r="9" spans="1:3" ht="53.25" customHeight="1">
      <c r="A9" s="3" t="s">
        <v>32</v>
      </c>
      <c r="B9" s="5">
        <f>C9/12</f>
        <v>31425.392500000002</v>
      </c>
      <c r="C9" s="1">
        <v>377104.71</v>
      </c>
    </row>
    <row r="10" spans="1:3" ht="46.5" customHeight="1">
      <c r="A10" s="3" t="s">
        <v>33</v>
      </c>
      <c r="B10" s="5">
        <f t="shared" ref="B10:B28" si="0">C10/12</f>
        <v>9546.0749999999989</v>
      </c>
      <c r="C10" s="1">
        <f>103689.23+10863.67</f>
        <v>114552.9</v>
      </c>
    </row>
    <row r="11" spans="1:3" ht="18" customHeight="1">
      <c r="A11" s="2" t="s">
        <v>8</v>
      </c>
      <c r="B11" s="5">
        <f t="shared" si="0"/>
        <v>40971.467499999999</v>
      </c>
      <c r="C11" s="2">
        <f>SUM(C9:C10)</f>
        <v>491657.61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11638.26</v>
      </c>
      <c r="C13" s="1">
        <f>114177.46+25481.66</f>
        <v>139659.12</v>
      </c>
    </row>
    <row r="14" spans="1:3" ht="81.75" customHeight="1">
      <c r="A14" s="3" t="s">
        <v>30</v>
      </c>
      <c r="B14" s="5">
        <f t="shared" si="0"/>
        <v>7150.3450000000003</v>
      </c>
      <c r="C14" s="1">
        <f>25680.09+60124.05</f>
        <v>85804.14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10266.583333333334</v>
      </c>
      <c r="C16" s="1">
        <v>123199</v>
      </c>
    </row>
    <row r="17" spans="1:3" ht="15.75">
      <c r="A17" s="1" t="s">
        <v>18</v>
      </c>
      <c r="B17" s="5">
        <f t="shared" si="0"/>
        <v>1644.9650000000001</v>
      </c>
      <c r="C17" s="1">
        <v>19739.580000000002</v>
      </c>
    </row>
    <row r="18" spans="1:3" ht="15.75">
      <c r="A18" s="1" t="s">
        <v>19</v>
      </c>
      <c r="B18" s="5">
        <f t="shared" si="0"/>
        <v>219.91</v>
      </c>
      <c r="C18" s="1">
        <v>2638.92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589.41999999999996</v>
      </c>
      <c r="C20" s="1">
        <v>7073.04</v>
      </c>
    </row>
    <row r="21" spans="1:3" ht="15.75">
      <c r="A21" s="1" t="s">
        <v>22</v>
      </c>
      <c r="B21" s="5">
        <f t="shared" si="0"/>
        <v>1829.3058333333331</v>
      </c>
      <c r="C21" s="1">
        <v>21951.67</v>
      </c>
    </row>
    <row r="22" spans="1:3" ht="15.75">
      <c r="A22" s="1" t="s">
        <v>23</v>
      </c>
      <c r="B22" s="5">
        <f t="shared" si="0"/>
        <v>3745.790833333333</v>
      </c>
      <c r="C22" s="1">
        <v>44949.49</v>
      </c>
    </row>
    <row r="23" spans="1:3" ht="15.75">
      <c r="A23" s="1" t="s">
        <v>24</v>
      </c>
      <c r="B23" s="5">
        <f t="shared" si="0"/>
        <v>78.712499999999991</v>
      </c>
      <c r="C23" s="1">
        <v>944.55</v>
      </c>
    </row>
    <row r="24" spans="1:3" ht="15.75">
      <c r="A24" s="1" t="s">
        <v>25</v>
      </c>
      <c r="B24" s="5">
        <f t="shared" si="0"/>
        <v>2158.54</v>
      </c>
      <c r="C24" s="1">
        <v>25902.48</v>
      </c>
    </row>
    <row r="25" spans="1:3" ht="15.75">
      <c r="A25" s="1" t="s">
        <v>26</v>
      </c>
      <c r="B25" s="5">
        <f t="shared" si="0"/>
        <v>239.82583333333332</v>
      </c>
      <c r="C25" s="1">
        <v>2877.91</v>
      </c>
    </row>
    <row r="26" spans="1:3" ht="15.75">
      <c r="A26" s="1" t="s">
        <v>27</v>
      </c>
      <c r="B26" s="5">
        <f t="shared" si="0"/>
        <v>0</v>
      </c>
    </row>
    <row r="27" spans="1:3" ht="15.75">
      <c r="A27" s="1" t="s">
        <v>28</v>
      </c>
      <c r="B27" s="5">
        <f t="shared" si="0"/>
        <v>9209.6166666666668</v>
      </c>
      <c r="C27" s="1">
        <v>110515.4</v>
      </c>
    </row>
    <row r="28" spans="1:3" ht="15.75">
      <c r="A28" s="2" t="s">
        <v>10</v>
      </c>
      <c r="B28" s="5">
        <f t="shared" si="0"/>
        <v>48771.274999999994</v>
      </c>
      <c r="C28" s="2">
        <f>SUM(C13:C27)</f>
        <v>585255.29999999993</v>
      </c>
    </row>
    <row r="29" spans="1:3" ht="20.25" customHeight="1">
      <c r="A29" s="2" t="s">
        <v>11</v>
      </c>
    </row>
    <row r="30" spans="1:3" ht="27" customHeight="1">
      <c r="A30" s="2" t="s">
        <v>12</v>
      </c>
      <c r="C30" s="2">
        <v>128353.55</v>
      </c>
    </row>
    <row r="31" spans="1:3" ht="58.5" customHeight="1">
      <c r="A31" s="3" t="s">
        <v>90</v>
      </c>
      <c r="C31" s="1">
        <v>9642.7199999999993</v>
      </c>
    </row>
    <row r="32" spans="1:3" ht="69.75" customHeight="1">
      <c r="A32" s="3" t="s">
        <v>91</v>
      </c>
      <c r="C32" s="1">
        <v>11917.35</v>
      </c>
    </row>
    <row r="33" spans="1:3" ht="15.75">
      <c r="A33" s="2" t="s">
        <v>101</v>
      </c>
      <c r="C33" s="2">
        <v>-149913.62</v>
      </c>
    </row>
    <row r="34" spans="1:3" ht="39.75" customHeight="1">
      <c r="A34" s="1" t="s">
        <v>16</v>
      </c>
    </row>
    <row r="35" spans="1:3" ht="26.25" customHeight="1">
      <c r="A35" s="1" t="s">
        <v>13</v>
      </c>
    </row>
    <row r="36" spans="1:3" ht="27.75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opLeftCell="A4" workbookViewId="0">
      <selection activeCell="C8" sqref="C8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39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-42507.82</v>
      </c>
    </row>
    <row r="9" spans="1:3" ht="53.25" customHeight="1">
      <c r="A9" s="3" t="s">
        <v>32</v>
      </c>
      <c r="B9" s="4">
        <f>C9/12</f>
        <v>39951.191666666666</v>
      </c>
      <c r="C9" s="1">
        <v>479414.3</v>
      </c>
    </row>
    <row r="10" spans="1:3" ht="46.5" customHeight="1">
      <c r="A10" s="3" t="s">
        <v>33</v>
      </c>
      <c r="B10" s="5">
        <f t="shared" ref="B10:B28" si="0">C10/12</f>
        <v>1295.0558333333333</v>
      </c>
      <c r="C10" s="1">
        <v>15540.67</v>
      </c>
    </row>
    <row r="11" spans="1:3" ht="18" customHeight="1">
      <c r="A11" s="2" t="s">
        <v>8</v>
      </c>
      <c r="B11" s="5">
        <f t="shared" si="0"/>
        <v>41246.247499999998</v>
      </c>
      <c r="C11" s="2">
        <f>SUM(C9:C10)</f>
        <v>494954.97</v>
      </c>
    </row>
    <row r="12" spans="1:3" ht="14.25" customHeight="1">
      <c r="A12" s="2" t="s">
        <v>9</v>
      </c>
      <c r="B12" s="4"/>
    </row>
    <row r="13" spans="1:3" ht="85.5" customHeight="1">
      <c r="A13" s="3" t="s">
        <v>29</v>
      </c>
      <c r="B13" s="5">
        <f t="shared" si="0"/>
        <v>9958.1774999999998</v>
      </c>
      <c r="C13" s="1">
        <f>97714.61+21783.52</f>
        <v>119498.13</v>
      </c>
    </row>
    <row r="14" spans="1:3" ht="81.75" customHeight="1">
      <c r="A14" s="3" t="s">
        <v>30</v>
      </c>
      <c r="B14" s="5">
        <f t="shared" si="0"/>
        <v>10570.284166666666</v>
      </c>
      <c r="C14" s="1">
        <f>26274.71+100568.7</f>
        <v>126843.41</v>
      </c>
    </row>
    <row r="15" spans="1:3" ht="66" customHeight="1">
      <c r="A15" s="3" t="s">
        <v>31</v>
      </c>
      <c r="B15" s="4">
        <f t="shared" si="0"/>
        <v>0</v>
      </c>
    </row>
    <row r="16" spans="1:3" ht="16.5" customHeight="1">
      <c r="A16" s="1" t="s">
        <v>17</v>
      </c>
      <c r="B16" s="5">
        <f t="shared" si="0"/>
        <v>1315.4166666666667</v>
      </c>
      <c r="C16" s="1">
        <v>15785</v>
      </c>
    </row>
    <row r="17" spans="1:3" ht="14.25" customHeight="1">
      <c r="A17" s="1" t="s">
        <v>18</v>
      </c>
      <c r="B17" s="5">
        <f t="shared" si="0"/>
        <v>1453.6833333333334</v>
      </c>
      <c r="C17" s="1">
        <v>17444.2</v>
      </c>
    </row>
    <row r="18" spans="1:3" ht="14.25" customHeight="1">
      <c r="A18" s="1" t="s">
        <v>19</v>
      </c>
      <c r="B18" s="5">
        <f t="shared" si="0"/>
        <v>141.65</v>
      </c>
      <c r="C18" s="1">
        <v>1699.8</v>
      </c>
    </row>
    <row r="19" spans="1:3" ht="14.25" customHeight="1">
      <c r="A19" s="1" t="s">
        <v>20</v>
      </c>
      <c r="B19" s="4"/>
    </row>
    <row r="20" spans="1:3" ht="14.25" customHeight="1">
      <c r="A20" s="1" t="s">
        <v>21</v>
      </c>
      <c r="B20" s="5">
        <f t="shared" si="0"/>
        <v>736.77499999999998</v>
      </c>
      <c r="C20" s="1">
        <v>8841.2999999999993</v>
      </c>
    </row>
    <row r="21" spans="1:3" ht="14.25" customHeight="1">
      <c r="A21" s="1" t="s">
        <v>22</v>
      </c>
      <c r="B21" s="5">
        <f t="shared" si="0"/>
        <v>1810.5166666666667</v>
      </c>
      <c r="C21" s="1">
        <v>21726.2</v>
      </c>
    </row>
    <row r="22" spans="1:3" ht="14.25" customHeight="1">
      <c r="A22" s="1" t="s">
        <v>23</v>
      </c>
      <c r="B22" s="5">
        <f t="shared" si="0"/>
        <v>3171.6675</v>
      </c>
      <c r="C22" s="1">
        <v>38060.01</v>
      </c>
    </row>
    <row r="23" spans="1:3" ht="14.25" customHeight="1">
      <c r="A23" s="1" t="s">
        <v>24</v>
      </c>
      <c r="B23" s="5">
        <f t="shared" si="0"/>
        <v>498.93833333333333</v>
      </c>
      <c r="C23" s="1">
        <v>5987.26</v>
      </c>
    </row>
    <row r="24" spans="1:3" ht="14.25" customHeight="1">
      <c r="A24" s="1" t="s">
        <v>25</v>
      </c>
      <c r="B24" s="5">
        <f t="shared" si="0"/>
        <v>2173.0166666666669</v>
      </c>
      <c r="C24" s="1">
        <v>26076.2</v>
      </c>
    </row>
    <row r="25" spans="1:3" ht="14.25" customHeight="1">
      <c r="A25" s="1" t="s">
        <v>26</v>
      </c>
      <c r="B25" s="5">
        <f t="shared" si="0"/>
        <v>225.05166666666665</v>
      </c>
      <c r="C25" s="1">
        <v>2700.62</v>
      </c>
    </row>
    <row r="26" spans="1:3" ht="14.25" customHeight="1">
      <c r="A26" s="1" t="s">
        <v>27</v>
      </c>
      <c r="B26" s="4"/>
    </row>
    <row r="27" spans="1:3" ht="14.25" customHeight="1">
      <c r="A27" s="1" t="s">
        <v>28</v>
      </c>
      <c r="B27" s="5">
        <f t="shared" si="0"/>
        <v>8128.7249999999995</v>
      </c>
      <c r="C27" s="1">
        <v>97544.7</v>
      </c>
    </row>
    <row r="28" spans="1:3" ht="14.25" customHeight="1">
      <c r="A28" s="2" t="s">
        <v>10</v>
      </c>
      <c r="B28" s="5">
        <f t="shared" si="0"/>
        <v>40183.902500000004</v>
      </c>
      <c r="C28" s="2">
        <f>SUM(C13:C27)</f>
        <v>482206.83</v>
      </c>
    </row>
    <row r="29" spans="1:3" ht="21.75" customHeight="1">
      <c r="A29" s="2" t="s">
        <v>11</v>
      </c>
    </row>
    <row r="30" spans="1:3" ht="29.25" customHeight="1">
      <c r="A30" s="2" t="s">
        <v>12</v>
      </c>
      <c r="C30" s="2">
        <v>29759.68</v>
      </c>
    </row>
    <row r="31" spans="1:3" ht="57.75" customHeight="1">
      <c r="A31" s="3" t="s">
        <v>40</v>
      </c>
      <c r="C31" s="1">
        <v>120613.91</v>
      </c>
    </row>
    <row r="32" spans="1:3" ht="69" customHeight="1">
      <c r="A32" s="3" t="s">
        <v>61</v>
      </c>
      <c r="C32" s="1">
        <v>0</v>
      </c>
    </row>
    <row r="33" spans="1:3" ht="43.5" customHeight="1">
      <c r="A33" s="2" t="s">
        <v>101</v>
      </c>
      <c r="C33" s="2">
        <v>-150373.59</v>
      </c>
    </row>
    <row r="34" spans="1:3" ht="80.25" customHeight="1">
      <c r="A34" s="1" t="s">
        <v>16</v>
      </c>
    </row>
    <row r="35" spans="1:3" ht="33" customHeight="1">
      <c r="A35" s="1" t="s">
        <v>13</v>
      </c>
    </row>
    <row r="36" spans="1:3" ht="24.75" customHeight="1">
      <c r="A36" s="1" t="s">
        <v>14</v>
      </c>
    </row>
    <row r="37" spans="1:3" ht="32.25" customHeight="1">
      <c r="A37" s="1" t="s">
        <v>15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7"/>
  <sheetViews>
    <sheetView topLeftCell="A9" workbookViewId="0">
      <selection activeCell="A33" sqref="A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92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33333.79</v>
      </c>
    </row>
    <row r="9" spans="1:3" ht="53.25" customHeight="1">
      <c r="A9" s="3" t="s">
        <v>32</v>
      </c>
      <c r="B9" s="1">
        <f>C9/12</f>
        <v>69742.09</v>
      </c>
      <c r="C9" s="1">
        <v>836905.08</v>
      </c>
    </row>
    <row r="10" spans="1:3" ht="46.5" customHeight="1">
      <c r="A10" s="3" t="s">
        <v>33</v>
      </c>
      <c r="B10" s="5">
        <f t="shared" ref="B10:B28" si="0">C10/12</f>
        <v>11085.608333333332</v>
      </c>
      <c r="C10" s="1">
        <f>106709.63+26317.67</f>
        <v>133027.29999999999</v>
      </c>
    </row>
    <row r="11" spans="1:3" ht="18" customHeight="1">
      <c r="A11" s="2" t="s">
        <v>8</v>
      </c>
      <c r="B11" s="5">
        <f t="shared" si="0"/>
        <v>80827.698333333319</v>
      </c>
      <c r="C11" s="2">
        <f>SUM(C9:C10)</f>
        <v>969932.37999999989</v>
      </c>
    </row>
    <row r="12" spans="1:3" ht="14.25" customHeight="1">
      <c r="A12" s="2" t="s">
        <v>9</v>
      </c>
    </row>
    <row r="13" spans="1:3" ht="85.5" customHeight="1">
      <c r="A13" s="3" t="s">
        <v>29</v>
      </c>
      <c r="B13" s="5">
        <f t="shared" si="0"/>
        <v>20591.712500000001</v>
      </c>
      <c r="C13" s="1">
        <f>202056.17+45044.38</f>
        <v>247100.55000000002</v>
      </c>
    </row>
    <row r="14" spans="1:3" ht="81.75" customHeight="1">
      <c r="A14" s="3" t="s">
        <v>30</v>
      </c>
      <c r="B14" s="5">
        <f t="shared" si="0"/>
        <v>15403.110833333334</v>
      </c>
      <c r="C14" s="1">
        <f>52184.1+132653.23</f>
        <v>184837.33000000002</v>
      </c>
    </row>
    <row r="15" spans="1:3" ht="66" customHeight="1">
      <c r="A15" s="3" t="s">
        <v>31</v>
      </c>
    </row>
    <row r="16" spans="1:3" ht="16.5" customHeight="1">
      <c r="A16" s="1" t="s">
        <v>17</v>
      </c>
      <c r="B16" s="5">
        <f t="shared" si="0"/>
        <v>15456.875</v>
      </c>
      <c r="C16" s="1">
        <v>185482.5</v>
      </c>
    </row>
    <row r="17" spans="1:3" ht="15.75">
      <c r="A17" s="1" t="s">
        <v>18</v>
      </c>
      <c r="B17" s="5">
        <f t="shared" si="0"/>
        <v>2991.8983333333331</v>
      </c>
      <c r="C17" s="1">
        <v>35902.78</v>
      </c>
    </row>
    <row r="18" spans="1:3" ht="15.75">
      <c r="A18" s="1" t="s">
        <v>19</v>
      </c>
      <c r="B18" s="1">
        <f t="shared" si="0"/>
        <v>235.55999999999997</v>
      </c>
      <c r="C18" s="1">
        <v>2826.72</v>
      </c>
    </row>
    <row r="19" spans="1:3" ht="15.75">
      <c r="A19" s="1" t="s">
        <v>20</v>
      </c>
    </row>
    <row r="20" spans="1:3" ht="15.75">
      <c r="A20" s="1" t="s">
        <v>21</v>
      </c>
      <c r="B20" s="5">
        <f t="shared" si="0"/>
        <v>1280.1466666666668</v>
      </c>
      <c r="C20" s="1">
        <v>15361.76</v>
      </c>
    </row>
    <row r="21" spans="1:3" ht="15.75">
      <c r="A21" s="1" t="s">
        <v>22</v>
      </c>
      <c r="B21" s="5">
        <f t="shared" si="0"/>
        <v>3600.9625000000001</v>
      </c>
      <c r="C21" s="1">
        <v>43211.55</v>
      </c>
    </row>
    <row r="22" spans="1:3" ht="15.75">
      <c r="A22" s="1" t="s">
        <v>23</v>
      </c>
      <c r="B22" s="5">
        <f t="shared" si="0"/>
        <v>6558.4366666666674</v>
      </c>
      <c r="C22" s="1">
        <v>78701.240000000005</v>
      </c>
    </row>
    <row r="23" spans="1:3" ht="15.75">
      <c r="A23" s="1" t="s">
        <v>24</v>
      </c>
      <c r="B23" s="5">
        <f t="shared" si="0"/>
        <v>897.88166666666666</v>
      </c>
      <c r="C23" s="1">
        <v>10774.58</v>
      </c>
    </row>
    <row r="24" spans="1:3" ht="15.75">
      <c r="A24" s="1" t="s">
        <v>25</v>
      </c>
      <c r="B24" s="5">
        <f t="shared" si="0"/>
        <v>4258.3249999999998</v>
      </c>
      <c r="C24" s="1">
        <v>51099.9</v>
      </c>
    </row>
    <row r="25" spans="1:3" ht="15.75">
      <c r="A25" s="1" t="s">
        <v>26</v>
      </c>
      <c r="B25" s="5">
        <f t="shared" si="0"/>
        <v>432.14166666666665</v>
      </c>
      <c r="C25" s="1">
        <v>5185.7</v>
      </c>
    </row>
    <row r="26" spans="1:3" ht="15.75">
      <c r="A26" s="1" t="s">
        <v>27</v>
      </c>
      <c r="B26" s="1">
        <f t="shared" si="0"/>
        <v>165</v>
      </c>
      <c r="C26" s="1">
        <v>1980</v>
      </c>
    </row>
    <row r="27" spans="1:3" ht="15.75">
      <c r="A27" s="1" t="s">
        <v>28</v>
      </c>
      <c r="B27" s="5">
        <f t="shared" si="0"/>
        <v>16867.824166666669</v>
      </c>
      <c r="C27" s="1">
        <v>202413.89</v>
      </c>
    </row>
    <row r="28" spans="1:3" ht="15.75">
      <c r="A28" s="2" t="s">
        <v>10</v>
      </c>
      <c r="B28" s="5">
        <f t="shared" si="0"/>
        <v>88739.875</v>
      </c>
      <c r="C28" s="2">
        <f>SUM(C13:C27)</f>
        <v>1064878.5</v>
      </c>
    </row>
    <row r="29" spans="1:3" ht="24" customHeight="1">
      <c r="A29" s="2" t="s">
        <v>11</v>
      </c>
    </row>
    <row r="30" spans="1:3" ht="29.25" customHeight="1">
      <c r="A30" s="2" t="s">
        <v>12</v>
      </c>
      <c r="C30" s="2">
        <v>61612.33</v>
      </c>
    </row>
    <row r="31" spans="1:3" ht="70.5" customHeight="1">
      <c r="A31" s="3" t="s">
        <v>93</v>
      </c>
    </row>
    <row r="32" spans="1:3" ht="87" customHeight="1">
      <c r="A32" s="3" t="s">
        <v>61</v>
      </c>
    </row>
    <row r="33" spans="1:3" ht="15.75">
      <c r="A33" s="2" t="s">
        <v>101</v>
      </c>
      <c r="C33" s="2">
        <v>-138806.42000000001</v>
      </c>
    </row>
    <row r="34" spans="1:3" ht="52.5" customHeight="1">
      <c r="A34" s="1" t="s">
        <v>16</v>
      </c>
    </row>
    <row r="35" spans="1:3" ht="36" customHeight="1">
      <c r="A35" s="1" t="s">
        <v>13</v>
      </c>
    </row>
    <row r="36" spans="1:3" ht="35.25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94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9.7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5383.94</v>
      </c>
    </row>
    <row r="9" spans="1:3" ht="53.25" customHeight="1">
      <c r="A9" s="3" t="s">
        <v>32</v>
      </c>
      <c r="B9" s="5">
        <f>C9/12</f>
        <v>43961.325000000004</v>
      </c>
      <c r="C9" s="1">
        <v>527535.9</v>
      </c>
    </row>
    <row r="10" spans="1:3" ht="46.5" customHeight="1">
      <c r="A10" s="3" t="s">
        <v>33</v>
      </c>
      <c r="B10" s="5">
        <f t="shared" ref="B10:B28" si="0">C10/12</f>
        <v>1649.075</v>
      </c>
      <c r="C10" s="1">
        <v>19788.900000000001</v>
      </c>
    </row>
    <row r="11" spans="1:3" ht="18" customHeight="1">
      <c r="A11" s="2" t="s">
        <v>8</v>
      </c>
      <c r="B11" s="5">
        <f t="shared" si="0"/>
        <v>45610.400000000001</v>
      </c>
      <c r="C11" s="2">
        <f>SUM(C9:C10)</f>
        <v>547324.80000000005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11010.528333333334</v>
      </c>
      <c r="C13" s="1">
        <f>108040.8+24085.54</f>
        <v>132126.34</v>
      </c>
    </row>
    <row r="14" spans="1:3" ht="81.75" customHeight="1">
      <c r="A14" s="3" t="s">
        <v>30</v>
      </c>
      <c r="B14" s="5">
        <f t="shared" si="0"/>
        <v>8889.1950000000015</v>
      </c>
      <c r="C14" s="1">
        <f>28821.52+77848.82</f>
        <v>106670.34000000001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357.25</v>
      </c>
      <c r="C16" s="1">
        <v>4287</v>
      </c>
    </row>
    <row r="17" spans="1:3" ht="15.75">
      <c r="A17" s="1" t="s">
        <v>18</v>
      </c>
      <c r="B17" s="5">
        <f t="shared" si="0"/>
        <v>1600.325</v>
      </c>
      <c r="C17" s="1">
        <v>19203.900000000001</v>
      </c>
    </row>
    <row r="18" spans="1:3" ht="15.75">
      <c r="A18" s="1" t="s">
        <v>19</v>
      </c>
      <c r="B18" s="5">
        <f t="shared" si="0"/>
        <v>155.09</v>
      </c>
      <c r="C18" s="1">
        <v>1861.08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736.77499999999998</v>
      </c>
      <c r="C20" s="1">
        <v>8841.2999999999993</v>
      </c>
    </row>
    <row r="21" spans="1:3" ht="15.75">
      <c r="A21" s="1" t="s">
        <v>22</v>
      </c>
      <c r="B21" s="5">
        <f t="shared" si="0"/>
        <v>1997.3233333333335</v>
      </c>
      <c r="C21" s="1">
        <v>23967.88</v>
      </c>
    </row>
    <row r="22" spans="1:3" ht="15.75">
      <c r="A22" s="1" t="s">
        <v>23</v>
      </c>
      <c r="B22" s="5">
        <f t="shared" si="0"/>
        <v>3506.8408333333332</v>
      </c>
      <c r="C22" s="1">
        <v>42082.09</v>
      </c>
    </row>
    <row r="23" spans="1:3" ht="15.75">
      <c r="A23" s="1" t="s">
        <v>24</v>
      </c>
      <c r="B23" s="5">
        <f t="shared" si="0"/>
        <v>521.02083333333337</v>
      </c>
      <c r="C23" s="1">
        <v>6252.25</v>
      </c>
    </row>
    <row r="24" spans="1:3" ht="15.75">
      <c r="A24" s="1" t="s">
        <v>25</v>
      </c>
      <c r="B24" s="5">
        <f t="shared" si="0"/>
        <v>2402.9375</v>
      </c>
      <c r="C24" s="1">
        <v>28835.25</v>
      </c>
    </row>
    <row r="25" spans="1:3" ht="15.75">
      <c r="A25" s="1" t="s">
        <v>26</v>
      </c>
      <c r="B25" s="5">
        <f t="shared" si="0"/>
        <v>225.30666666666664</v>
      </c>
      <c r="C25" s="1">
        <v>2703.68</v>
      </c>
    </row>
    <row r="26" spans="1:3" ht="15.75">
      <c r="A26" s="1" t="s">
        <v>27</v>
      </c>
      <c r="B26" s="5"/>
    </row>
    <row r="27" spans="1:3" ht="15.75">
      <c r="A27" s="1" t="s">
        <v>28</v>
      </c>
      <c r="B27" s="5">
        <f t="shared" si="0"/>
        <v>8959.7100000000009</v>
      </c>
      <c r="C27" s="1">
        <v>107516.52</v>
      </c>
    </row>
    <row r="28" spans="1:3" ht="15.75">
      <c r="A28" s="2" t="s">
        <v>10</v>
      </c>
      <c r="B28" s="5">
        <f t="shared" si="0"/>
        <v>40362.302500000005</v>
      </c>
      <c r="C28" s="2">
        <f>SUM(C13:C27)</f>
        <v>484347.63000000006</v>
      </c>
    </row>
    <row r="29" spans="1:3" ht="26.25" customHeight="1">
      <c r="A29" s="2" t="s">
        <v>11</v>
      </c>
      <c r="C29" s="2">
        <v>68361.11</v>
      </c>
    </row>
    <row r="30" spans="1:3" ht="30.75" customHeight="1">
      <c r="A30" s="2" t="s">
        <v>12</v>
      </c>
    </row>
    <row r="31" spans="1:3" ht="66.75" customHeight="1">
      <c r="A31" s="3" t="s">
        <v>95</v>
      </c>
    </row>
    <row r="32" spans="1:3" ht="84" customHeight="1">
      <c r="A32" s="3" t="s">
        <v>59</v>
      </c>
    </row>
    <row r="33" spans="1:3" ht="15.75">
      <c r="A33" s="2" t="s">
        <v>100</v>
      </c>
      <c r="C33" s="1">
        <v>4128.09</v>
      </c>
    </row>
    <row r="34" spans="1:3" ht="47.25" customHeight="1">
      <c r="A34" s="1" t="s">
        <v>16</v>
      </c>
    </row>
    <row r="35" spans="1:3" ht="34.5" customHeight="1">
      <c r="A35" s="1" t="s">
        <v>13</v>
      </c>
    </row>
    <row r="36" spans="1:3" ht="35.25" customHeight="1">
      <c r="A36" s="1" t="s">
        <v>14</v>
      </c>
    </row>
    <row r="37" spans="1:3" ht="33" customHeight="1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XFD1048576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96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95101.18</v>
      </c>
    </row>
    <row r="9" spans="1:3" ht="53.25" customHeight="1">
      <c r="A9" s="3" t="s">
        <v>32</v>
      </c>
      <c r="B9" s="5">
        <f>C9/12</f>
        <v>59224.224999999999</v>
      </c>
      <c r="C9" s="1">
        <v>710690.7</v>
      </c>
    </row>
    <row r="10" spans="1:3" ht="46.5" customHeight="1">
      <c r="A10" s="3" t="s">
        <v>33</v>
      </c>
      <c r="B10" s="5">
        <f t="shared" ref="B10:B28" si="0">C10/12</f>
        <v>14870.530833333332</v>
      </c>
      <c r="C10" s="1">
        <f>152470.8+25975.57</f>
        <v>178446.37</v>
      </c>
    </row>
    <row r="11" spans="1:3" ht="18" customHeight="1">
      <c r="A11" s="2" t="s">
        <v>8</v>
      </c>
      <c r="B11" s="5">
        <f t="shared" si="0"/>
        <v>74094.755833333329</v>
      </c>
      <c r="C11" s="2">
        <f>SUM(C9:C10)</f>
        <v>889137.07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18762.62</v>
      </c>
      <c r="C13" s="1">
        <f>184108.2+41043.24</f>
        <v>225151.44</v>
      </c>
    </row>
    <row r="14" spans="1:3" ht="81.75" customHeight="1">
      <c r="A14" s="3" t="s">
        <v>30</v>
      </c>
      <c r="B14" s="5">
        <f t="shared" si="0"/>
        <v>12319.008333333333</v>
      </c>
      <c r="C14" s="1">
        <f>34282.53+113545.57</f>
        <v>147828.1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741.33333333333337</v>
      </c>
      <c r="C16" s="1">
        <v>8896</v>
      </c>
    </row>
    <row r="17" spans="1:3" ht="15.75">
      <c r="A17" s="1" t="s">
        <v>18</v>
      </c>
      <c r="B17" s="5">
        <f t="shared" si="0"/>
        <v>2784.8733333333334</v>
      </c>
      <c r="C17" s="1">
        <v>33418.480000000003</v>
      </c>
    </row>
    <row r="18" spans="1:3" ht="15.75">
      <c r="A18" s="1" t="s">
        <v>19</v>
      </c>
      <c r="B18" s="5">
        <f t="shared" si="0"/>
        <v>98.990000000000009</v>
      </c>
      <c r="C18" s="1">
        <v>1187.8800000000001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1086.7433333333333</v>
      </c>
      <c r="C20" s="1">
        <v>13040.92</v>
      </c>
    </row>
    <row r="21" spans="1:3" ht="15.75">
      <c r="A21" s="1" t="s">
        <v>22</v>
      </c>
      <c r="B21" s="5">
        <f t="shared" si="0"/>
        <v>3263.7291666666665</v>
      </c>
      <c r="C21" s="1">
        <v>39164.75</v>
      </c>
    </row>
    <row r="22" spans="1:3" ht="15.75">
      <c r="A22" s="1" t="s">
        <v>23</v>
      </c>
      <c r="B22" s="5">
        <f t="shared" si="0"/>
        <v>5975.8741666666674</v>
      </c>
      <c r="C22" s="1">
        <v>71710.490000000005</v>
      </c>
    </row>
    <row r="23" spans="1:3" ht="15.75">
      <c r="A23" s="1" t="s">
        <v>24</v>
      </c>
      <c r="B23" s="5">
        <f t="shared" si="0"/>
        <v>739.125</v>
      </c>
      <c r="C23" s="1">
        <v>8869.5</v>
      </c>
    </row>
    <row r="24" spans="1:3" ht="15.75">
      <c r="A24" s="1" t="s">
        <v>25</v>
      </c>
      <c r="B24" s="5">
        <f t="shared" si="0"/>
        <v>3873.6066666666666</v>
      </c>
      <c r="C24" s="1">
        <v>46483.28</v>
      </c>
    </row>
    <row r="25" spans="1:3" ht="15.75">
      <c r="A25" s="1" t="s">
        <v>26</v>
      </c>
      <c r="B25" s="5">
        <f t="shared" si="0"/>
        <v>335.41666666666669</v>
      </c>
      <c r="C25" s="1">
        <v>4025</v>
      </c>
    </row>
    <row r="26" spans="1:3" ht="15.75">
      <c r="A26" s="1" t="s">
        <v>27</v>
      </c>
      <c r="B26" s="5"/>
    </row>
    <row r="27" spans="1:3" ht="15.75">
      <c r="A27" s="1" t="s">
        <v>28</v>
      </c>
      <c r="B27" s="5">
        <f t="shared" si="0"/>
        <v>15786.6775</v>
      </c>
      <c r="C27" s="1">
        <v>189440.13</v>
      </c>
    </row>
    <row r="28" spans="1:3" ht="15.75">
      <c r="A28" s="2" t="s">
        <v>10</v>
      </c>
      <c r="B28" s="5">
        <f t="shared" si="0"/>
        <v>65767.997500000012</v>
      </c>
      <c r="C28" s="1">
        <f>SUM(C13:C27)</f>
        <v>789215.97000000009</v>
      </c>
    </row>
    <row r="29" spans="1:3" ht="24.75" customHeight="1">
      <c r="A29" s="2" t="s">
        <v>11</v>
      </c>
      <c r="C29" s="2">
        <v>195022.28</v>
      </c>
    </row>
    <row r="30" spans="1:3" ht="30" customHeight="1">
      <c r="A30" s="2" t="s">
        <v>12</v>
      </c>
    </row>
    <row r="31" spans="1:3" ht="75" customHeight="1">
      <c r="A31" s="3" t="s">
        <v>98</v>
      </c>
      <c r="C31" s="1">
        <v>220047.11</v>
      </c>
    </row>
    <row r="32" spans="1:3" ht="63">
      <c r="A32" s="3" t="s">
        <v>99</v>
      </c>
      <c r="C32" s="1">
        <v>27141.29</v>
      </c>
    </row>
    <row r="33" spans="1:3" ht="32.25" customHeight="1">
      <c r="A33" s="2" t="s">
        <v>97</v>
      </c>
      <c r="C33" s="2">
        <v>-52166.12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113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39164.85</v>
      </c>
    </row>
    <row r="9" spans="1:3" ht="53.25" customHeight="1">
      <c r="A9" s="3" t="s">
        <v>32</v>
      </c>
      <c r="B9" s="5">
        <f>C9/12</f>
        <v>51856.700000000004</v>
      </c>
      <c r="C9" s="1">
        <v>622280.4</v>
      </c>
    </row>
    <row r="10" spans="1:3" ht="46.5" customHeight="1">
      <c r="A10" s="3" t="s">
        <v>33</v>
      </c>
      <c r="B10" s="5">
        <f t="shared" ref="B10:B28" si="0">C10/12</f>
        <v>1216.3716666666667</v>
      </c>
      <c r="C10" s="1">
        <v>14596.46</v>
      </c>
    </row>
    <row r="11" spans="1:3" ht="18" customHeight="1">
      <c r="A11" s="2" t="s">
        <v>8</v>
      </c>
      <c r="B11" s="5">
        <f t="shared" si="0"/>
        <v>53073.071666666663</v>
      </c>
      <c r="C11" s="2">
        <f>SUM(C9:C10)</f>
        <v>636876.86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13087.583333333334</v>
      </c>
      <c r="C13" s="1">
        <f>128421.9+28629.1</f>
        <v>157051</v>
      </c>
    </row>
    <row r="14" spans="1:3" ht="81.75" customHeight="1">
      <c r="A14" s="3" t="s">
        <v>30</v>
      </c>
      <c r="B14" s="5">
        <f t="shared" si="0"/>
        <v>7784.2849999999999</v>
      </c>
      <c r="C14" s="1">
        <f>40216.79+53194.63</f>
        <v>93411.42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311.83333333333331</v>
      </c>
      <c r="C16" s="1">
        <v>3742</v>
      </c>
    </row>
    <row r="17" spans="1:3" ht="15.75">
      <c r="A17" s="1" t="s">
        <v>18</v>
      </c>
      <c r="B17" s="5">
        <f t="shared" si="0"/>
        <v>1882.0616666666667</v>
      </c>
      <c r="C17" s="1">
        <v>22584.74</v>
      </c>
    </row>
    <row r="18" spans="1:3" ht="15.75">
      <c r="A18" s="1" t="s">
        <v>19</v>
      </c>
      <c r="B18" s="5">
        <f t="shared" si="0"/>
        <v>140.70000000000002</v>
      </c>
      <c r="C18" s="1">
        <v>1688.4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930.17833333333328</v>
      </c>
      <c r="C20" s="1">
        <v>11162.14</v>
      </c>
    </row>
    <row r="21" spans="1:3" ht="15.75">
      <c r="A21" s="1" t="s">
        <v>22</v>
      </c>
      <c r="B21" s="5">
        <f t="shared" si="0"/>
        <v>2364.5066666666667</v>
      </c>
      <c r="C21" s="1">
        <v>28374.080000000002</v>
      </c>
    </row>
    <row r="22" spans="1:3" ht="15.75">
      <c r="A22" s="1" t="s">
        <v>23</v>
      </c>
      <c r="B22" s="5">
        <f t="shared" si="0"/>
        <v>4168.38</v>
      </c>
      <c r="C22" s="1">
        <v>50020.56</v>
      </c>
    </row>
    <row r="23" spans="1:3" ht="15.75">
      <c r="A23" s="1" t="s">
        <v>24</v>
      </c>
      <c r="B23" s="5">
        <f t="shared" si="0"/>
        <v>620.58000000000004</v>
      </c>
      <c r="C23" s="1">
        <v>7446.96</v>
      </c>
    </row>
    <row r="24" spans="1:3" ht="15.75">
      <c r="A24" s="1" t="s">
        <v>25</v>
      </c>
      <c r="B24" s="5">
        <f t="shared" si="0"/>
        <v>2796.1008333333334</v>
      </c>
      <c r="C24" s="1">
        <v>33553.21</v>
      </c>
    </row>
    <row r="25" spans="1:3" ht="15.75">
      <c r="A25" s="1" t="s">
        <v>26</v>
      </c>
      <c r="B25" s="5">
        <f t="shared" si="0"/>
        <v>334.42916666666667</v>
      </c>
      <c r="C25" s="1">
        <v>4013.15</v>
      </c>
    </row>
    <row r="26" spans="1:3" ht="15.75">
      <c r="A26" s="1" t="s">
        <v>27</v>
      </c>
      <c r="B26" s="5"/>
    </row>
    <row r="27" spans="1:3" ht="15.75">
      <c r="A27" s="1" t="s">
        <v>28</v>
      </c>
      <c r="B27" s="5">
        <f t="shared" si="0"/>
        <v>14038.887499999999</v>
      </c>
      <c r="C27" s="1">
        <v>168466.65</v>
      </c>
    </row>
    <row r="28" spans="1:3" ht="15.75">
      <c r="A28" s="2" t="s">
        <v>10</v>
      </c>
      <c r="B28" s="5">
        <f t="shared" si="0"/>
        <v>48459.52583333334</v>
      </c>
      <c r="C28" s="2">
        <f>SUM(C13:C27)</f>
        <v>581514.31000000006</v>
      </c>
    </row>
    <row r="29" spans="1:3" ht="24.75" customHeight="1">
      <c r="A29" s="2" t="s">
        <v>11</v>
      </c>
      <c r="C29" s="2">
        <v>94527.4</v>
      </c>
    </row>
    <row r="30" spans="1:3" ht="30" customHeight="1">
      <c r="A30" s="2" t="s">
        <v>12</v>
      </c>
    </row>
    <row r="31" spans="1:3" ht="75" customHeight="1">
      <c r="A31" s="3" t="s">
        <v>98</v>
      </c>
      <c r="C31" s="1">
        <v>38831.370000000003</v>
      </c>
    </row>
    <row r="32" spans="1:3" ht="63">
      <c r="A32" s="3" t="s">
        <v>99</v>
      </c>
      <c r="C32" s="1">
        <v>26144.12</v>
      </c>
    </row>
    <row r="33" spans="1:3" ht="32.25" customHeight="1">
      <c r="A33" s="2" t="s">
        <v>97</v>
      </c>
      <c r="C33" s="2">
        <v>29551.91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F13" sqref="F1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112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41062.17</v>
      </c>
    </row>
    <row r="9" spans="1:3" ht="53.25" customHeight="1">
      <c r="A9" s="3" t="s">
        <v>32</v>
      </c>
      <c r="B9" s="5">
        <f>C9/12</f>
        <v>55669.158333333333</v>
      </c>
      <c r="C9" s="1">
        <v>668029.9</v>
      </c>
    </row>
    <row r="10" spans="1:3" ht="46.5" customHeight="1">
      <c r="A10" s="3" t="s">
        <v>33</v>
      </c>
      <c r="B10" s="5">
        <f t="shared" ref="B10:B28" si="0">C10/12</f>
        <v>2003.0941666666668</v>
      </c>
      <c r="C10" s="1">
        <v>24037.13</v>
      </c>
    </row>
    <row r="11" spans="1:3" ht="18" customHeight="1">
      <c r="A11" s="2" t="s">
        <v>8</v>
      </c>
      <c r="B11" s="5">
        <f t="shared" si="0"/>
        <v>57672.252500000002</v>
      </c>
      <c r="C11" s="2">
        <f>SUM(C9:C10)</f>
        <v>692067.03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14333.186666666666</v>
      </c>
      <c r="C13" s="1">
        <f>140644.4+31353.84</f>
        <v>171998.24</v>
      </c>
    </row>
    <row r="14" spans="1:3" ht="81.75" customHeight="1">
      <c r="A14" s="3" t="s">
        <v>30</v>
      </c>
      <c r="B14" s="5">
        <f t="shared" si="0"/>
        <v>10459.247499999999</v>
      </c>
      <c r="C14" s="1">
        <f>46832.37+78678.6</f>
        <v>125510.97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8739.1666666666661</v>
      </c>
      <c r="C16" s="1">
        <v>104870</v>
      </c>
    </row>
    <row r="17" spans="1:3" ht="15.75">
      <c r="A17" s="1" t="s">
        <v>18</v>
      </c>
      <c r="B17" s="5">
        <f t="shared" si="0"/>
        <v>2048.6416666666669</v>
      </c>
      <c r="C17" s="1">
        <v>24583.7</v>
      </c>
    </row>
    <row r="18" spans="1:3" ht="15.75">
      <c r="A18" s="1" t="s">
        <v>19</v>
      </c>
      <c r="B18" s="5">
        <f t="shared" si="0"/>
        <v>260.61</v>
      </c>
      <c r="C18" s="1">
        <v>3127.32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920.96833333333336</v>
      </c>
      <c r="C20" s="1">
        <v>11051.62</v>
      </c>
    </row>
    <row r="21" spans="1:3" ht="15.75">
      <c r="A21" s="1" t="s">
        <v>22</v>
      </c>
      <c r="B21" s="5">
        <f t="shared" si="0"/>
        <v>2555.4908333333333</v>
      </c>
      <c r="C21" s="1">
        <v>30665.89</v>
      </c>
    </row>
    <row r="22" spans="1:3" ht="15.75">
      <c r="A22" s="1" t="s">
        <v>23</v>
      </c>
      <c r="B22" s="5">
        <f t="shared" si="0"/>
        <v>4565.1025</v>
      </c>
      <c r="C22" s="1">
        <v>54781.23</v>
      </c>
    </row>
    <row r="23" spans="1:3" ht="15.75">
      <c r="A23" s="1" t="s">
        <v>24</v>
      </c>
      <c r="B23" s="5">
        <f t="shared" si="0"/>
        <v>625.73666666666668</v>
      </c>
      <c r="C23" s="1">
        <v>7508.84</v>
      </c>
    </row>
    <row r="24" spans="1:3" ht="15.75">
      <c r="B24" s="5">
        <f t="shared" si="0"/>
        <v>3038.4041666666667</v>
      </c>
      <c r="C24" s="1">
        <v>36460.85</v>
      </c>
    </row>
    <row r="25" spans="1:3" ht="15.75">
      <c r="A25" s="1" t="s">
        <v>26</v>
      </c>
      <c r="B25" s="5">
        <f t="shared" si="0"/>
        <v>334.42916666666667</v>
      </c>
      <c r="C25" s="1">
        <v>4013.15</v>
      </c>
    </row>
    <row r="26" spans="1:3" ht="15.75">
      <c r="A26" s="1" t="s">
        <v>27</v>
      </c>
      <c r="B26" s="5"/>
    </row>
    <row r="27" spans="1:3" ht="15.75">
      <c r="A27" s="1" t="s">
        <v>28</v>
      </c>
      <c r="B27" s="5">
        <f t="shared" si="0"/>
        <v>11473.554166666667</v>
      </c>
      <c r="C27" s="1">
        <v>137682.65</v>
      </c>
    </row>
    <row r="28" spans="1:3" ht="15.75">
      <c r="A28" s="2" t="s">
        <v>10</v>
      </c>
      <c r="B28" s="5">
        <f t="shared" si="0"/>
        <v>59354.53833333333</v>
      </c>
      <c r="C28" s="2">
        <f>SUM(C13:C27)</f>
        <v>712254.46</v>
      </c>
    </row>
    <row r="29" spans="1:3" ht="24.75" customHeight="1">
      <c r="A29" s="2" t="s">
        <v>11</v>
      </c>
      <c r="C29" s="2">
        <v>20874.740000000002</v>
      </c>
    </row>
    <row r="30" spans="1:3" ht="30" customHeight="1">
      <c r="A30" s="2" t="s">
        <v>12</v>
      </c>
    </row>
    <row r="31" spans="1:3" ht="75" customHeight="1">
      <c r="A31" s="3" t="s">
        <v>98</v>
      </c>
      <c r="C31" s="1">
        <v>50436.2</v>
      </c>
    </row>
    <row r="32" spans="1:3" ht="63">
      <c r="A32" s="3" t="s">
        <v>99</v>
      </c>
      <c r="C32" s="1">
        <v>30111.26</v>
      </c>
    </row>
    <row r="33" spans="1:3" ht="32.25" customHeight="1">
      <c r="A33" s="2" t="s">
        <v>97</v>
      </c>
      <c r="C33" s="2">
        <v>-59672.72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F31" sqref="F31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111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131021.56</v>
      </c>
    </row>
    <row r="9" spans="1:3" ht="53.25" customHeight="1">
      <c r="A9" s="3" t="s">
        <v>32</v>
      </c>
      <c r="B9" s="5">
        <f>C9/12</f>
        <v>53963.525000000001</v>
      </c>
      <c r="C9" s="1">
        <v>647562.30000000005</v>
      </c>
    </row>
    <row r="10" spans="1:3" ht="46.5" customHeight="1">
      <c r="A10" s="3" t="s">
        <v>33</v>
      </c>
      <c r="B10" s="5">
        <f t="shared" ref="B10:B28" si="0">C10/12</f>
        <v>2400.0666666666666</v>
      </c>
      <c r="C10" s="1">
        <v>28800.799999999999</v>
      </c>
    </row>
    <row r="11" spans="1:3" ht="18" customHeight="1">
      <c r="A11" s="2" t="s">
        <v>8</v>
      </c>
      <c r="B11" s="5">
        <f t="shared" si="0"/>
        <v>56363.591666666674</v>
      </c>
      <c r="C11" s="2">
        <f>SUM(C9:C10)</f>
        <v>676363.10000000009</v>
      </c>
    </row>
    <row r="12" spans="1:3" ht="14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14130.016666666665</v>
      </c>
      <c r="C13" s="1">
        <f>138622.9+30937.3</f>
        <v>169560.19999999998</v>
      </c>
    </row>
    <row r="14" spans="1:3" ht="81.75" customHeight="1">
      <c r="A14" s="3" t="s">
        <v>30</v>
      </c>
      <c r="B14" s="5">
        <f t="shared" si="0"/>
        <v>7856.3016666666663</v>
      </c>
      <c r="C14" s="1">
        <f>42080.53+52195.09</f>
        <v>94275.62</v>
      </c>
    </row>
    <row r="15" spans="1:3" ht="66" customHeight="1">
      <c r="A15" s="3" t="s">
        <v>31</v>
      </c>
      <c r="B15" s="5">
        <f t="shared" si="0"/>
        <v>0</v>
      </c>
    </row>
    <row r="16" spans="1:3" ht="16.5" customHeight="1">
      <c r="A16" s="1" t="s">
        <v>17</v>
      </c>
      <c r="B16" s="5">
        <f t="shared" si="0"/>
        <v>5023.583333333333</v>
      </c>
      <c r="C16" s="1">
        <v>60283</v>
      </c>
    </row>
    <row r="17" spans="1:3" ht="15.75">
      <c r="A17" s="1" t="s">
        <v>18</v>
      </c>
      <c r="B17" s="5">
        <f t="shared" si="0"/>
        <v>2059.835</v>
      </c>
      <c r="C17" s="1">
        <v>24718.02</v>
      </c>
    </row>
    <row r="18" spans="1:3" ht="15.75">
      <c r="A18" s="1" t="s">
        <v>19</v>
      </c>
      <c r="B18" s="5">
        <f t="shared" si="0"/>
        <v>257.8</v>
      </c>
      <c r="C18" s="1">
        <v>3093.6</v>
      </c>
    </row>
    <row r="19" spans="1:3" ht="15.75">
      <c r="A19" s="1" t="s">
        <v>20</v>
      </c>
      <c r="B19" s="5">
        <f t="shared" si="0"/>
        <v>0</v>
      </c>
    </row>
    <row r="20" spans="1:3" ht="15.75">
      <c r="A20" s="1" t="s">
        <v>21</v>
      </c>
      <c r="B20" s="5">
        <f t="shared" si="0"/>
        <v>920.96833333333336</v>
      </c>
      <c r="C20" s="1">
        <v>11051.62</v>
      </c>
    </row>
    <row r="21" spans="1:3" ht="15.75">
      <c r="A21" s="1" t="s">
        <v>22</v>
      </c>
      <c r="B21" s="5">
        <f t="shared" si="0"/>
        <v>2488.8733333333334</v>
      </c>
      <c r="C21" s="1">
        <v>29866.48</v>
      </c>
    </row>
    <row r="22" spans="1:3" ht="15.75">
      <c r="A22" s="1" t="s">
        <v>23</v>
      </c>
      <c r="B22" s="5">
        <f t="shared" si="0"/>
        <v>4547.7658333333338</v>
      </c>
      <c r="C22" s="1">
        <v>54573.19</v>
      </c>
    </row>
    <row r="23" spans="1:3" ht="15.75">
      <c r="A23" s="1" t="s">
        <v>24</v>
      </c>
      <c r="B23" s="5">
        <f t="shared" si="0"/>
        <v>719.20833333333337</v>
      </c>
      <c r="C23" s="1">
        <v>8630.5</v>
      </c>
    </row>
    <row r="24" spans="1:3" ht="15.75">
      <c r="A24" s="1" t="s">
        <v>25</v>
      </c>
      <c r="B24" s="5">
        <f t="shared" si="0"/>
        <v>2969.4583333333335</v>
      </c>
      <c r="C24" s="1">
        <v>35633.5</v>
      </c>
    </row>
    <row r="25" spans="1:3" ht="15.75">
      <c r="A25" s="1" t="s">
        <v>26</v>
      </c>
      <c r="B25" s="5">
        <f t="shared" si="0"/>
        <v>334.56916666666666</v>
      </c>
      <c r="C25" s="1">
        <v>4014.83</v>
      </c>
    </row>
    <row r="26" spans="1:3" ht="15.75">
      <c r="A26" s="1" t="s">
        <v>27</v>
      </c>
      <c r="B26" s="5">
        <f t="shared" si="0"/>
        <v>934.16666666666663</v>
      </c>
      <c r="C26" s="1">
        <v>11210</v>
      </c>
    </row>
    <row r="27" spans="1:3" ht="15.75">
      <c r="A27" s="1" t="s">
        <v>28</v>
      </c>
      <c r="B27" s="5">
        <f t="shared" si="0"/>
        <v>11536.731666666667</v>
      </c>
      <c r="C27" s="1">
        <v>138440.78</v>
      </c>
    </row>
    <row r="28" spans="1:3" ht="15.75">
      <c r="A28" s="2" t="s">
        <v>10</v>
      </c>
      <c r="B28" s="5">
        <f t="shared" si="0"/>
        <v>53779.278333333328</v>
      </c>
      <c r="C28" s="2">
        <f>SUM(C13:C27)</f>
        <v>645351.34</v>
      </c>
    </row>
    <row r="29" spans="1:3" ht="24.75" customHeight="1">
      <c r="A29" s="2" t="s">
        <v>11</v>
      </c>
      <c r="C29" s="2">
        <v>162033.32</v>
      </c>
    </row>
    <row r="30" spans="1:3" ht="30" customHeight="1">
      <c r="A30" s="2" t="s">
        <v>12</v>
      </c>
    </row>
    <row r="31" spans="1:3" ht="75" customHeight="1">
      <c r="A31" s="3" t="s">
        <v>98</v>
      </c>
      <c r="C31" s="1">
        <v>144605.28</v>
      </c>
    </row>
    <row r="32" spans="1:3" ht="63">
      <c r="A32" s="3" t="s">
        <v>99</v>
      </c>
      <c r="C32" s="1">
        <v>0</v>
      </c>
    </row>
    <row r="33" spans="1:3" ht="32.25" customHeight="1">
      <c r="A33" s="2" t="s">
        <v>97</v>
      </c>
      <c r="C33" s="2">
        <v>17428.04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B12" sqref="B12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110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48180.68</v>
      </c>
    </row>
    <row r="9" spans="1:3" ht="53.25" customHeight="1">
      <c r="A9" s="3" t="s">
        <v>32</v>
      </c>
      <c r="B9" s="5">
        <f>C9/12</f>
        <v>50596.041666666664</v>
      </c>
      <c r="C9" s="1">
        <v>607152.5</v>
      </c>
    </row>
    <row r="10" spans="1:3" ht="46.5" customHeight="1">
      <c r="A10" s="3" t="s">
        <v>33</v>
      </c>
      <c r="B10" s="5">
        <f t="shared" ref="B10:B28" si="0">C10/12</f>
        <v>6122.3708333333343</v>
      </c>
      <c r="C10" s="1">
        <f>31187.65+42280.8</f>
        <v>73468.450000000012</v>
      </c>
    </row>
    <row r="11" spans="1:3" ht="18" customHeight="1">
      <c r="A11" s="2" t="s">
        <v>8</v>
      </c>
      <c r="B11" s="5">
        <f t="shared" si="0"/>
        <v>56718.412499999999</v>
      </c>
      <c r="C11" s="2">
        <f>SUM(C9:C10)</f>
        <v>680620.95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15825.019999999999</v>
      </c>
      <c r="C13" s="1">
        <f>155283+34617.24</f>
        <v>189900.24</v>
      </c>
    </row>
    <row r="14" spans="1:3" ht="81.75" customHeight="1">
      <c r="A14" s="3" t="s">
        <v>30</v>
      </c>
      <c r="B14" s="5">
        <f t="shared" si="0"/>
        <v>9028.6483333333326</v>
      </c>
      <c r="C14" s="1">
        <f>42152.11+66191.67</f>
        <v>108343.78</v>
      </c>
    </row>
    <row r="15" spans="1:3" ht="66" customHeight="1">
      <c r="A15" s="3" t="s">
        <v>31</v>
      </c>
      <c r="B15" s="5">
        <f t="shared" si="0"/>
        <v>0</v>
      </c>
    </row>
    <row r="16" spans="1:3" ht="16.5" customHeight="1">
      <c r="A16" s="1" t="s">
        <v>17</v>
      </c>
      <c r="B16" s="5">
        <f t="shared" si="0"/>
        <v>531.66666666666663</v>
      </c>
      <c r="C16" s="1">
        <v>6380</v>
      </c>
    </row>
    <row r="17" spans="1:3" ht="15.75">
      <c r="A17" s="1" t="s">
        <v>18</v>
      </c>
      <c r="B17" s="5">
        <f t="shared" si="0"/>
        <v>2286.6483333333331</v>
      </c>
      <c r="C17" s="1">
        <v>27439.78</v>
      </c>
    </row>
    <row r="18" spans="1:3" ht="15.75">
      <c r="A18" s="1" t="s">
        <v>19</v>
      </c>
      <c r="B18" s="5">
        <f t="shared" si="0"/>
        <v>127.52999999999999</v>
      </c>
      <c r="C18" s="1">
        <v>1530.36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801.24249999999995</v>
      </c>
      <c r="C20" s="1">
        <v>9614.91</v>
      </c>
    </row>
    <row r="21" spans="1:3" ht="15.75">
      <c r="A21" s="1" t="s">
        <v>22</v>
      </c>
      <c r="B21" s="5">
        <f t="shared" si="0"/>
        <v>2479.5250000000001</v>
      </c>
      <c r="C21" s="1">
        <v>29754.3</v>
      </c>
    </row>
    <row r="22" spans="1:3" ht="15.75">
      <c r="A22" s="1" t="s">
        <v>23</v>
      </c>
      <c r="B22" s="5">
        <f t="shared" si="0"/>
        <v>5040.2516666666661</v>
      </c>
      <c r="C22" s="1">
        <v>60483.02</v>
      </c>
    </row>
    <row r="23" spans="1:3" ht="15.75">
      <c r="A23" s="1" t="s">
        <v>24</v>
      </c>
      <c r="B23" s="5">
        <f t="shared" si="0"/>
        <v>824.86749999999995</v>
      </c>
      <c r="C23" s="1">
        <v>9898.41</v>
      </c>
    </row>
    <row r="24" spans="1:3" ht="15.75">
      <c r="A24" s="1" t="s">
        <v>25</v>
      </c>
      <c r="B24" s="5">
        <f t="shared" si="0"/>
        <v>2988.1516666666666</v>
      </c>
      <c r="C24" s="1">
        <v>35857.82</v>
      </c>
    </row>
    <row r="25" spans="1:3" ht="15.75">
      <c r="A25" s="1" t="s">
        <v>26</v>
      </c>
      <c r="B25" s="5">
        <f t="shared" si="0"/>
        <v>334.19583333333333</v>
      </c>
      <c r="C25" s="1">
        <v>4010.35</v>
      </c>
    </row>
    <row r="26" spans="1:3" ht="15.75">
      <c r="A26" s="1" t="s">
        <v>27</v>
      </c>
      <c r="B26" s="5"/>
    </row>
    <row r="27" spans="1:3" ht="15.75">
      <c r="A27" s="1" t="s">
        <v>28</v>
      </c>
      <c r="B27" s="5">
        <f t="shared" si="0"/>
        <v>12589.091666666667</v>
      </c>
      <c r="C27" s="1">
        <v>151069.1</v>
      </c>
    </row>
    <row r="28" spans="1:3" ht="15.75">
      <c r="A28" s="2" t="s">
        <v>10</v>
      </c>
      <c r="B28" s="5">
        <f t="shared" si="0"/>
        <v>52856.839166666665</v>
      </c>
      <c r="C28" s="1">
        <f>SUM(C13:C27)</f>
        <v>634282.06999999995</v>
      </c>
    </row>
    <row r="29" spans="1:3" ht="24.75" customHeight="1">
      <c r="A29" s="2" t="s">
        <v>11</v>
      </c>
      <c r="C29" s="2">
        <v>94519.56</v>
      </c>
    </row>
    <row r="30" spans="1:3" ht="30" customHeight="1">
      <c r="A30" s="2" t="s">
        <v>12</v>
      </c>
    </row>
    <row r="31" spans="1:3" ht="75" customHeight="1">
      <c r="A31" s="3" t="s">
        <v>98</v>
      </c>
      <c r="C31" s="1">
        <v>50512.56</v>
      </c>
    </row>
    <row r="32" spans="1:3" ht="63">
      <c r="A32" s="3" t="s">
        <v>99</v>
      </c>
      <c r="C32" s="1">
        <v>0</v>
      </c>
    </row>
    <row r="33" spans="1:3" ht="32.25" customHeight="1">
      <c r="A33" s="2" t="s">
        <v>97</v>
      </c>
      <c r="C33" s="2">
        <v>44007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7"/>
  <sheetViews>
    <sheetView topLeftCell="A23" workbookViewId="0">
      <selection activeCell="F10" sqref="F10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109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10333.969999999999</v>
      </c>
    </row>
    <row r="9" spans="1:3" ht="53.25" customHeight="1">
      <c r="A9" s="3" t="s">
        <v>32</v>
      </c>
      <c r="B9" s="5">
        <f>C9/12</f>
        <v>58102.741666666669</v>
      </c>
      <c r="C9" s="1">
        <v>697232.9</v>
      </c>
    </row>
    <row r="10" spans="1:3" ht="46.5" customHeight="1">
      <c r="A10" s="3" t="s">
        <v>33</v>
      </c>
      <c r="B10" s="5">
        <f t="shared" ref="B10:B28" si="0">C10/12</f>
        <v>1216.3716666666667</v>
      </c>
      <c r="C10" s="1">
        <v>14596.46</v>
      </c>
    </row>
    <row r="11" spans="1:3" ht="18" customHeight="1">
      <c r="A11" s="2" t="s">
        <v>8</v>
      </c>
      <c r="B11" s="5">
        <f t="shared" si="0"/>
        <v>59319.113333333335</v>
      </c>
      <c r="C11" s="2">
        <f>SUM(C9:C10)</f>
        <v>711829.36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15069.413333333332</v>
      </c>
      <c r="C13" s="1">
        <f>148050.9+32782.06</f>
        <v>180832.96</v>
      </c>
    </row>
    <row r="14" spans="1:3" ht="81.75" customHeight="1">
      <c r="A14" s="3" t="s">
        <v>30</v>
      </c>
      <c r="B14" s="5">
        <f t="shared" si="0"/>
        <v>9669.42</v>
      </c>
      <c r="C14" s="1">
        <f>39031.91+77001.13</f>
        <v>116033.04000000001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2347.3333333333335</v>
      </c>
      <c r="C16" s="1">
        <v>28168</v>
      </c>
    </row>
    <row r="17" spans="1:3" ht="15.75">
      <c r="A17" s="1" t="s">
        <v>18</v>
      </c>
      <c r="B17" s="5">
        <f t="shared" si="0"/>
        <v>2187.64</v>
      </c>
      <c r="C17" s="1">
        <v>26251.68</v>
      </c>
    </row>
    <row r="18" spans="1:3" ht="15.75">
      <c r="A18" s="1" t="s">
        <v>19</v>
      </c>
      <c r="B18" s="5">
        <f t="shared" si="0"/>
        <v>390.89333333333337</v>
      </c>
      <c r="C18" s="1">
        <v>4690.72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1114.3716666666667</v>
      </c>
      <c r="C20" s="1">
        <v>13372.46</v>
      </c>
    </row>
    <row r="21" spans="1:3" ht="15.75">
      <c r="A21" s="1" t="s">
        <v>22</v>
      </c>
      <c r="B21" s="5">
        <f t="shared" si="0"/>
        <v>2648.1366666666668</v>
      </c>
      <c r="C21" s="1">
        <v>31777.64</v>
      </c>
    </row>
    <row r="22" spans="1:3" ht="15.75">
      <c r="A22" s="1" t="s">
        <v>23</v>
      </c>
      <c r="B22" s="5">
        <f t="shared" si="0"/>
        <v>4773.0491666666667</v>
      </c>
      <c r="C22" s="1">
        <v>57276.59</v>
      </c>
    </row>
    <row r="23" spans="1:3" ht="15.75">
      <c r="A23" s="1" t="s">
        <v>24</v>
      </c>
      <c r="B23" s="5">
        <f t="shared" si="0"/>
        <v>771.10333333333335</v>
      </c>
      <c r="C23" s="1">
        <v>9253.24</v>
      </c>
    </row>
    <row r="24" spans="1:3" ht="15.75">
      <c r="A24" s="1" t="s">
        <v>25</v>
      </c>
      <c r="B24" s="5">
        <f t="shared" si="0"/>
        <v>3125.1666666666665</v>
      </c>
      <c r="C24" s="1">
        <v>37502</v>
      </c>
    </row>
    <row r="25" spans="1:3" ht="15.75">
      <c r="A25" s="1" t="s">
        <v>26</v>
      </c>
      <c r="B25" s="5">
        <f t="shared" si="0"/>
        <v>334.49916666666667</v>
      </c>
      <c r="C25" s="1">
        <v>4013.99</v>
      </c>
    </row>
    <row r="26" spans="1:3" ht="15.75">
      <c r="A26" s="1" t="s">
        <v>27</v>
      </c>
      <c r="B26" s="5">
        <f t="shared" si="0"/>
        <v>4166.666666666667</v>
      </c>
      <c r="C26" s="1">
        <v>50000</v>
      </c>
    </row>
    <row r="27" spans="1:3" ht="15.75">
      <c r="A27" s="1" t="s">
        <v>28</v>
      </c>
      <c r="B27" s="5">
        <f t="shared" si="0"/>
        <v>12248.75</v>
      </c>
      <c r="C27" s="1">
        <v>146985</v>
      </c>
    </row>
    <row r="28" spans="1:3" ht="15.75">
      <c r="A28" s="2" t="s">
        <v>10</v>
      </c>
      <c r="B28" s="5">
        <f t="shared" si="0"/>
        <v>58846.443333333329</v>
      </c>
      <c r="C28" s="2">
        <f>SUM(C13:C27)</f>
        <v>706157.32</v>
      </c>
    </row>
    <row r="29" spans="1:3" ht="24.75" customHeight="1">
      <c r="A29" s="2" t="s">
        <v>11</v>
      </c>
      <c r="C29" s="2">
        <v>16006.01</v>
      </c>
    </row>
    <row r="30" spans="1:3" ht="30" customHeight="1">
      <c r="A30" s="2" t="s">
        <v>12</v>
      </c>
    </row>
    <row r="31" spans="1:3" ht="75" customHeight="1">
      <c r="A31" s="3" t="s">
        <v>98</v>
      </c>
      <c r="C31" s="1">
        <v>405632.04</v>
      </c>
    </row>
    <row r="32" spans="1:3" ht="63">
      <c r="A32" s="3" t="s">
        <v>99</v>
      </c>
      <c r="C32" s="1">
        <v>34083.61</v>
      </c>
    </row>
    <row r="33" spans="1:3" ht="32.25" customHeight="1">
      <c r="A33" s="2" t="s">
        <v>97</v>
      </c>
      <c r="C33" s="2">
        <v>-423709.64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7"/>
  <sheetViews>
    <sheetView topLeftCell="A23" workbookViewId="0">
      <selection activeCell="C28" sqref="C28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108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-9847.98</v>
      </c>
    </row>
    <row r="9" spans="1:3" ht="53.25" customHeight="1">
      <c r="A9" s="3" t="s">
        <v>32</v>
      </c>
      <c r="B9" s="5">
        <f>C9/12</f>
        <v>41192.325000000004</v>
      </c>
      <c r="C9" s="1">
        <v>494307.9</v>
      </c>
    </row>
    <row r="10" spans="1:3" ht="46.5" customHeight="1">
      <c r="A10" s="3" t="s">
        <v>33</v>
      </c>
      <c r="B10" s="5">
        <f t="shared" ref="B10:B28" si="0">C10/12</f>
        <v>1649.075</v>
      </c>
      <c r="C10" s="1">
        <v>19788.900000000001</v>
      </c>
    </row>
    <row r="11" spans="1:3" ht="18" customHeight="1">
      <c r="A11" s="2" t="s">
        <v>8</v>
      </c>
      <c r="B11" s="5">
        <f t="shared" si="0"/>
        <v>42841.4</v>
      </c>
      <c r="C11" s="2">
        <f>SUM(C9:C10)</f>
        <v>514096.80000000005</v>
      </c>
    </row>
    <row r="12" spans="1:3" ht="14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10712.734999999999</v>
      </c>
      <c r="C13" s="1">
        <f>105118.7+23434.12</f>
        <v>128552.81999999999</v>
      </c>
    </row>
    <row r="14" spans="1:3" ht="81.75" customHeight="1">
      <c r="A14" s="3" t="s">
        <v>30</v>
      </c>
      <c r="B14" s="5">
        <f t="shared" si="0"/>
        <v>8656.8425000000007</v>
      </c>
      <c r="C14" s="1">
        <f>37965.54+65916.57</f>
        <v>103882.11000000002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1311.4166666666667</v>
      </c>
      <c r="C16" s="1">
        <v>15737</v>
      </c>
    </row>
    <row r="17" spans="1:3" ht="15.75">
      <c r="A17" s="1" t="s">
        <v>18</v>
      </c>
      <c r="B17" s="5">
        <f t="shared" si="0"/>
        <v>1517.2433333333331</v>
      </c>
      <c r="C17" s="1">
        <v>18206.919999999998</v>
      </c>
    </row>
    <row r="18" spans="1:3" ht="15.75">
      <c r="A18" s="1" t="s">
        <v>19</v>
      </c>
      <c r="B18" s="5">
        <f t="shared" si="0"/>
        <v>143.39000000000001</v>
      </c>
      <c r="C18" s="1">
        <v>1720.68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736.77499999999998</v>
      </c>
      <c r="C20" s="1">
        <v>8841.2999999999993</v>
      </c>
    </row>
    <row r="21" spans="1:3" ht="15.75">
      <c r="A21" s="1" t="s">
        <v>22</v>
      </c>
      <c r="B21" s="5">
        <f t="shared" si="0"/>
        <v>1902.7308333333333</v>
      </c>
      <c r="C21" s="1">
        <v>22832.77</v>
      </c>
    </row>
    <row r="22" spans="1:3" ht="15.75">
      <c r="A22" s="1" t="s">
        <v>23</v>
      </c>
      <c r="B22" s="5">
        <f t="shared" si="0"/>
        <v>3411.9941666666668</v>
      </c>
      <c r="C22" s="1">
        <v>40943.93</v>
      </c>
    </row>
    <row r="23" spans="1:3" ht="15.75">
      <c r="A23" s="1" t="s">
        <v>24</v>
      </c>
      <c r="B23" s="5">
        <f t="shared" si="0"/>
        <v>513.38083333333327</v>
      </c>
      <c r="C23" s="1">
        <v>6160.57</v>
      </c>
    </row>
    <row r="24" spans="1:3" ht="15.75">
      <c r="A24" s="1" t="s">
        <v>25</v>
      </c>
      <c r="B24" s="5">
        <f t="shared" si="0"/>
        <v>2257.0558333333333</v>
      </c>
      <c r="C24" s="1">
        <v>27084.67</v>
      </c>
    </row>
    <row r="25" spans="1:3" ht="15.75">
      <c r="A25" s="1" t="s">
        <v>26</v>
      </c>
      <c r="B25" s="5">
        <f t="shared" si="0"/>
        <v>225.16499999999999</v>
      </c>
      <c r="C25" s="1">
        <v>2701.98</v>
      </c>
    </row>
    <row r="26" spans="1:3" ht="15.75">
      <c r="A26" s="1" t="s">
        <v>27</v>
      </c>
      <c r="B26" s="5"/>
    </row>
    <row r="27" spans="1:3" ht="15.75">
      <c r="A27" s="1" t="s">
        <v>28</v>
      </c>
      <c r="B27" s="5">
        <f t="shared" si="0"/>
        <v>8496.3249999999989</v>
      </c>
      <c r="C27" s="1">
        <v>101955.9</v>
      </c>
    </row>
    <row r="28" spans="1:3" ht="15.75">
      <c r="A28" s="2" t="s">
        <v>10</v>
      </c>
      <c r="B28" s="5">
        <f t="shared" si="0"/>
        <v>39885.054166666661</v>
      </c>
      <c r="C28" s="2">
        <f>SUM(C13:C27)</f>
        <v>478620.64999999991</v>
      </c>
    </row>
    <row r="29" spans="1:3" ht="24.75" customHeight="1">
      <c r="A29" s="2" t="s">
        <v>11</v>
      </c>
      <c r="C29" s="2">
        <v>25628.17</v>
      </c>
    </row>
    <row r="30" spans="1:3" ht="30" customHeight="1">
      <c r="A30" s="2" t="s">
        <v>12</v>
      </c>
    </row>
    <row r="31" spans="1:3" ht="75" customHeight="1">
      <c r="A31" s="3" t="s">
        <v>98</v>
      </c>
      <c r="C31" s="1">
        <v>145989.74</v>
      </c>
    </row>
    <row r="32" spans="1:3" ht="63">
      <c r="A32" s="3" t="s">
        <v>99</v>
      </c>
      <c r="C32" s="1">
        <v>0</v>
      </c>
    </row>
    <row r="33" spans="1:3" ht="32.25" customHeight="1">
      <c r="A33" s="2" t="s">
        <v>97</v>
      </c>
      <c r="C33" s="2">
        <v>-120361.57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0" sqref="C30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107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-43169.64</v>
      </c>
    </row>
    <row r="9" spans="1:3" ht="53.25" customHeight="1">
      <c r="A9" s="3" t="s">
        <v>32</v>
      </c>
      <c r="B9" s="5">
        <f>C9/12</f>
        <v>40072.15</v>
      </c>
      <c r="C9" s="1">
        <v>480865.8</v>
      </c>
    </row>
    <row r="10" spans="1:3" ht="46.5" customHeight="1">
      <c r="A10" s="3" t="s">
        <v>33</v>
      </c>
      <c r="B10" s="5">
        <f t="shared" ref="B10:B28" si="0">C10/12</f>
        <v>1252.1025</v>
      </c>
      <c r="C10" s="1">
        <v>15025.23</v>
      </c>
    </row>
    <row r="11" spans="1:3" ht="18" customHeight="1">
      <c r="A11" s="2" t="s">
        <v>8</v>
      </c>
      <c r="B11" s="5">
        <f t="shared" si="0"/>
        <v>41324.252499999995</v>
      </c>
      <c r="C11" s="2">
        <f>SUM(C9:C10)</f>
        <v>495891.02999999997</v>
      </c>
    </row>
    <row r="12" spans="1:3" ht="14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10683.363333333333</v>
      </c>
      <c r="C13" s="1">
        <f>104830.5+23369.86</f>
        <v>128200.36</v>
      </c>
    </row>
    <row r="14" spans="1:3" ht="81.75" customHeight="1">
      <c r="A14" s="3" t="s">
        <v>30</v>
      </c>
      <c r="B14" s="5">
        <f t="shared" si="0"/>
        <v>10416.135</v>
      </c>
      <c r="C14" s="1">
        <f>45400.65+79592.97</f>
        <v>124993.62</v>
      </c>
    </row>
    <row r="15" spans="1:3" ht="66" customHeight="1">
      <c r="A15" s="3" t="s">
        <v>31</v>
      </c>
      <c r="B15" s="5">
        <f t="shared" si="0"/>
        <v>0</v>
      </c>
    </row>
    <row r="16" spans="1:3" ht="16.5" customHeight="1">
      <c r="A16" s="1" t="s">
        <v>17</v>
      </c>
      <c r="B16" s="5">
        <f t="shared" si="0"/>
        <v>4105.333333333333</v>
      </c>
      <c r="C16" s="1">
        <v>49264</v>
      </c>
    </row>
    <row r="17" spans="1:3" ht="15.75">
      <c r="A17" s="1" t="s">
        <v>18</v>
      </c>
      <c r="B17" s="5">
        <f t="shared" si="0"/>
        <v>1478.6183333333331</v>
      </c>
      <c r="C17" s="1">
        <v>17743.419999999998</v>
      </c>
    </row>
    <row r="18" spans="1:3" ht="15.75">
      <c r="A18" s="1" t="s">
        <v>19</v>
      </c>
      <c r="B18" s="5">
        <f t="shared" si="0"/>
        <v>158.10999999999999</v>
      </c>
      <c r="C18" s="1">
        <v>1897.32</v>
      </c>
    </row>
    <row r="19" spans="1:3" ht="15.75">
      <c r="A19" s="1" t="s">
        <v>20</v>
      </c>
      <c r="B19" s="5">
        <f t="shared" si="0"/>
        <v>0</v>
      </c>
    </row>
    <row r="20" spans="1:3" ht="15.75">
      <c r="A20" s="1" t="s">
        <v>21</v>
      </c>
      <c r="B20" s="5">
        <f t="shared" si="0"/>
        <v>1105.1625000000001</v>
      </c>
      <c r="C20" s="1">
        <v>13261.95</v>
      </c>
    </row>
    <row r="21" spans="1:3" ht="15.75">
      <c r="A21" s="1" t="s">
        <v>22</v>
      </c>
      <c r="B21" s="5">
        <f t="shared" si="0"/>
        <v>1830.0200000000002</v>
      </c>
      <c r="C21" s="1">
        <v>21960.240000000002</v>
      </c>
    </row>
    <row r="22" spans="1:3" ht="15.75">
      <c r="A22" s="1" t="s">
        <v>23</v>
      </c>
      <c r="B22" s="5">
        <f t="shared" si="0"/>
        <v>3402.6375000000003</v>
      </c>
      <c r="C22" s="1">
        <v>40831.65</v>
      </c>
    </row>
    <row r="23" spans="1:3" ht="15.75">
      <c r="A23" s="1" t="s">
        <v>24</v>
      </c>
      <c r="B23" s="5">
        <f t="shared" si="0"/>
        <v>744.2833333333333</v>
      </c>
      <c r="C23" s="1">
        <v>8931.4</v>
      </c>
    </row>
    <row r="24" spans="1:3" ht="15.75">
      <c r="A24" s="1" t="s">
        <v>25</v>
      </c>
      <c r="B24" s="5">
        <f t="shared" si="0"/>
        <v>2177.125833333333</v>
      </c>
      <c r="C24" s="1">
        <v>26125.51</v>
      </c>
    </row>
    <row r="25" spans="1:3" ht="15.75">
      <c r="A25" s="1" t="s">
        <v>26</v>
      </c>
      <c r="B25" s="5">
        <f t="shared" si="0"/>
        <v>167.05916666666667</v>
      </c>
      <c r="C25" s="1">
        <v>2004.71</v>
      </c>
    </row>
    <row r="26" spans="1:3" ht="15.75">
      <c r="A26" s="1" t="s">
        <v>27</v>
      </c>
      <c r="B26" s="5">
        <f t="shared" si="0"/>
        <v>354.16666666666669</v>
      </c>
      <c r="C26" s="1">
        <v>4250</v>
      </c>
    </row>
    <row r="27" spans="1:3" ht="15.75">
      <c r="A27" s="1" t="s">
        <v>28</v>
      </c>
      <c r="B27" s="5">
        <f t="shared" si="0"/>
        <v>8278.5158333333329</v>
      </c>
      <c r="C27" s="1">
        <v>99342.19</v>
      </c>
    </row>
    <row r="28" spans="1:3" ht="15.75">
      <c r="A28" s="2" t="s">
        <v>10</v>
      </c>
      <c r="B28" s="5">
        <f t="shared" si="0"/>
        <v>44900.530833333345</v>
      </c>
      <c r="C28" s="2">
        <f>SUM(C13:C27)</f>
        <v>538806.37000000011</v>
      </c>
    </row>
    <row r="29" spans="1:3" ht="24.75" customHeight="1">
      <c r="A29" s="2" t="s">
        <v>11</v>
      </c>
      <c r="C29" s="2"/>
    </row>
    <row r="30" spans="1:3" ht="30" customHeight="1">
      <c r="A30" s="2" t="s">
        <v>12</v>
      </c>
      <c r="C30" s="2">
        <v>86084.98</v>
      </c>
    </row>
    <row r="31" spans="1:3" ht="75" customHeight="1">
      <c r="A31" s="3" t="s">
        <v>98</v>
      </c>
      <c r="C31" s="1">
        <v>162036.54</v>
      </c>
    </row>
    <row r="32" spans="1:3" ht="63">
      <c r="A32" s="3" t="s">
        <v>99</v>
      </c>
      <c r="C32" s="1">
        <v>36187.33</v>
      </c>
    </row>
    <row r="33" spans="1:3" ht="32.25" customHeight="1">
      <c r="A33" s="2" t="s">
        <v>97</v>
      </c>
      <c r="C33" s="2">
        <v>-284308.84999999998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C33" sqref="C33"/>
    </sheetView>
  </sheetViews>
  <sheetFormatPr defaultRowHeight="14.25" customHeight="1"/>
  <cols>
    <col min="1" max="1" width="46.7109375" style="1" customWidth="1"/>
    <col min="2" max="2" width="15.85546875" style="1" customWidth="1"/>
    <col min="3" max="3" width="14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41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1">
        <v>-55827.34</v>
      </c>
    </row>
    <row r="9" spans="1:3" ht="53.25" customHeight="1">
      <c r="A9" s="3" t="s">
        <v>32</v>
      </c>
      <c r="B9" s="5">
        <f>C9/12</f>
        <v>37281.808333333334</v>
      </c>
      <c r="C9" s="1">
        <v>447381.7</v>
      </c>
    </row>
    <row r="10" spans="1:3" ht="46.5" customHeight="1">
      <c r="A10" s="3" t="s">
        <v>33</v>
      </c>
      <c r="B10" s="5">
        <f t="shared" ref="B10:B28" si="0">C10/12</f>
        <v>2045.2583333333332</v>
      </c>
      <c r="C10" s="1">
        <f>9002.43+15540.67</f>
        <v>24543.1</v>
      </c>
    </row>
    <row r="11" spans="1:3" ht="18" customHeight="1">
      <c r="A11" s="2" t="s">
        <v>8</v>
      </c>
      <c r="B11" s="5">
        <f t="shared" si="0"/>
        <v>39327.066666666666</v>
      </c>
      <c r="C11" s="1">
        <f>SUM(C9:C10)</f>
        <v>471924.8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10013.183333333332</v>
      </c>
      <c r="C13" s="1">
        <f>98254.36+21903.84</f>
        <v>120158.2</v>
      </c>
    </row>
    <row r="14" spans="1:3" ht="81.75" customHeight="1">
      <c r="A14" s="3" t="s">
        <v>30</v>
      </c>
      <c r="B14" s="5">
        <f t="shared" si="0"/>
        <v>12569.08</v>
      </c>
      <c r="C14" s="1">
        <f>31833.79+118995.17</f>
        <v>150828.96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316.16666666666669</v>
      </c>
      <c r="C16" s="1">
        <v>3794</v>
      </c>
    </row>
    <row r="17" spans="1:3" ht="14.25" customHeight="1">
      <c r="A17" s="1" t="s">
        <v>18</v>
      </c>
      <c r="B17" s="5">
        <f t="shared" si="0"/>
        <v>1435.1616666666666</v>
      </c>
      <c r="C17" s="1">
        <v>17221.939999999999</v>
      </c>
    </row>
    <row r="18" spans="1:3" ht="14.25" customHeight="1">
      <c r="A18" s="1" t="s">
        <v>19</v>
      </c>
      <c r="B18" s="5"/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690.72666666666657</v>
      </c>
      <c r="C20" s="1">
        <v>8288.7199999999993</v>
      </c>
    </row>
    <row r="21" spans="1:3" ht="14.25" customHeight="1">
      <c r="A21" s="1" t="s">
        <v>22</v>
      </c>
      <c r="B21" s="5">
        <f t="shared" si="0"/>
        <v>1737.2858333333334</v>
      </c>
      <c r="C21" s="1">
        <v>20847.43</v>
      </c>
    </row>
    <row r="22" spans="1:3" ht="14.25" customHeight="1">
      <c r="A22" s="1" t="s">
        <v>23</v>
      </c>
      <c r="B22" s="5">
        <f t="shared" si="0"/>
        <v>3189.1875</v>
      </c>
      <c r="C22" s="1">
        <v>38270.25</v>
      </c>
    </row>
    <row r="23" spans="1:3" ht="14.25" customHeight="1">
      <c r="A23" s="1" t="s">
        <v>24</v>
      </c>
      <c r="B23" s="5">
        <f t="shared" si="0"/>
        <v>465.95</v>
      </c>
      <c r="C23" s="1">
        <v>5591.4</v>
      </c>
    </row>
    <row r="24" spans="1:3" ht="14.25" customHeight="1">
      <c r="A24" s="1" t="s">
        <v>25</v>
      </c>
      <c r="B24" s="5">
        <f t="shared" si="0"/>
        <v>2071.9066666666668</v>
      </c>
      <c r="C24" s="1">
        <v>24862.880000000001</v>
      </c>
    </row>
    <row r="25" spans="1:3" ht="14.25" customHeight="1">
      <c r="A25" s="1" t="s">
        <v>26</v>
      </c>
      <c r="B25" s="5">
        <f t="shared" si="0"/>
        <v>226.37916666666669</v>
      </c>
      <c r="C25" s="1">
        <v>2716.55</v>
      </c>
    </row>
    <row r="26" spans="1:3" ht="14.25" customHeight="1">
      <c r="A26" s="1" t="s">
        <v>27</v>
      </c>
      <c r="B26" s="5">
        <f t="shared" si="0"/>
        <v>0</v>
      </c>
    </row>
    <row r="27" spans="1:3" ht="14.25" customHeight="1">
      <c r="A27" s="1" t="s">
        <v>28</v>
      </c>
      <c r="B27" s="5">
        <f t="shared" si="0"/>
        <v>8035.7425000000003</v>
      </c>
      <c r="C27" s="1">
        <v>96428.91</v>
      </c>
    </row>
    <row r="28" spans="1:3" ht="14.25" customHeight="1">
      <c r="A28" s="2" t="s">
        <v>10</v>
      </c>
      <c r="B28" s="5">
        <f t="shared" si="0"/>
        <v>40750.769999999997</v>
      </c>
      <c r="C28" s="1">
        <f>SUM(C13:C27)</f>
        <v>489009.24</v>
      </c>
    </row>
    <row r="29" spans="1:3" ht="20.25" customHeight="1">
      <c r="A29" s="2" t="s">
        <v>11</v>
      </c>
    </row>
    <row r="30" spans="1:3" ht="26.25" customHeight="1">
      <c r="A30" s="2" t="s">
        <v>12</v>
      </c>
      <c r="C30" s="1">
        <v>72911.78</v>
      </c>
    </row>
    <row r="31" spans="1:3" ht="66" customHeight="1">
      <c r="A31" s="3" t="s">
        <v>42</v>
      </c>
      <c r="C31" s="1">
        <v>84387.7</v>
      </c>
    </row>
    <row r="32" spans="1:3" ht="71.25" customHeight="1">
      <c r="A32" s="3" t="s">
        <v>61</v>
      </c>
      <c r="C32" s="1">
        <v>0</v>
      </c>
    </row>
    <row r="33" spans="1:3" ht="15.75">
      <c r="A33" s="2" t="s">
        <v>101</v>
      </c>
      <c r="C33" s="2">
        <v>-157299.48000000001</v>
      </c>
    </row>
    <row r="34" spans="1:3" ht="65.25" customHeight="1">
      <c r="A34" s="1" t="s">
        <v>16</v>
      </c>
    </row>
    <row r="35" spans="1:3" ht="48.75" customHeight="1">
      <c r="A35" s="1" t="s">
        <v>13</v>
      </c>
    </row>
    <row r="36" spans="1:3" ht="24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7"/>
  <sheetViews>
    <sheetView topLeftCell="A23" workbookViewId="0">
      <selection activeCell="B15" sqref="B15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106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17784.439999999999</v>
      </c>
    </row>
    <row r="9" spans="1:3" ht="53.25" customHeight="1">
      <c r="A9" s="3" t="s">
        <v>32</v>
      </c>
      <c r="B9" s="5">
        <f>C9/12</f>
        <v>29628.774999999998</v>
      </c>
      <c r="C9" s="1">
        <v>355545.3</v>
      </c>
    </row>
    <row r="10" spans="1:3" ht="46.5" customHeight="1">
      <c r="A10" s="3" t="s">
        <v>33</v>
      </c>
      <c r="B10" s="5">
        <f t="shared" ref="B10:B28" si="0">C10/12</f>
        <v>1899.8183333333334</v>
      </c>
      <c r="C10" s="1">
        <f>7257.15+15540.67</f>
        <v>22797.82</v>
      </c>
    </row>
    <row r="11" spans="1:3" ht="18" customHeight="1">
      <c r="A11" s="2" t="s">
        <v>8</v>
      </c>
      <c r="B11" s="5">
        <f t="shared" si="0"/>
        <v>31528.593333333334</v>
      </c>
      <c r="C11" s="2">
        <f>SUM(C9:C10)</f>
        <v>378343.12</v>
      </c>
    </row>
    <row r="12" spans="1:3" ht="14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7907.6175000000003</v>
      </c>
      <c r="C13" s="1">
        <f>77593.49+17297.92</f>
        <v>94891.41</v>
      </c>
    </row>
    <row r="14" spans="1:3" ht="81.75" customHeight="1">
      <c r="A14" s="3" t="s">
        <v>30</v>
      </c>
      <c r="B14" s="5">
        <f t="shared" si="0"/>
        <v>5400.6066666666666</v>
      </c>
      <c r="C14" s="1">
        <f>21703.05+43104.23</f>
        <v>64807.28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507.25</v>
      </c>
      <c r="C16" s="1">
        <v>6087</v>
      </c>
    </row>
    <row r="17" spans="1:3" ht="15.75">
      <c r="A17" s="1" t="s">
        <v>18</v>
      </c>
      <c r="B17" s="5">
        <f t="shared" si="0"/>
        <v>1149.2883333333332</v>
      </c>
      <c r="C17" s="1">
        <v>13791.46</v>
      </c>
    </row>
    <row r="18" spans="1:3" ht="15.75">
      <c r="A18" s="1" t="s">
        <v>19</v>
      </c>
      <c r="B18" s="5"/>
    </row>
    <row r="19" spans="1:3" ht="15.75">
      <c r="A19" s="1" t="s">
        <v>20</v>
      </c>
      <c r="B19" s="5">
        <f t="shared" si="0"/>
        <v>534.16166666666663</v>
      </c>
      <c r="C19" s="1">
        <v>6409.94</v>
      </c>
    </row>
    <row r="20" spans="1:3" ht="15.75">
      <c r="A20" s="1" t="s">
        <v>21</v>
      </c>
      <c r="B20" s="5">
        <f t="shared" si="0"/>
        <v>1387.0616666666667</v>
      </c>
      <c r="C20" s="1">
        <v>16644.740000000002</v>
      </c>
    </row>
    <row r="21" spans="1:3" ht="15.75">
      <c r="A21" s="1" t="s">
        <v>22</v>
      </c>
      <c r="B21" s="5">
        <f t="shared" si="0"/>
        <v>2518.5666666666666</v>
      </c>
      <c r="C21" s="1">
        <v>30222.799999999999</v>
      </c>
    </row>
    <row r="22" spans="1:3" ht="15.75">
      <c r="A22" s="1" t="s">
        <v>23</v>
      </c>
      <c r="B22" s="5">
        <f t="shared" si="0"/>
        <v>423.72916666666669</v>
      </c>
      <c r="C22" s="1">
        <v>5084.75</v>
      </c>
    </row>
    <row r="23" spans="1:3" ht="15.75">
      <c r="A23" s="1" t="s">
        <v>24</v>
      </c>
      <c r="B23" s="5">
        <f t="shared" si="0"/>
        <v>1661.0516666666665</v>
      </c>
      <c r="C23" s="1">
        <v>19932.62</v>
      </c>
    </row>
    <row r="24" spans="1:3" ht="15.75">
      <c r="A24" s="1" t="s">
        <v>25</v>
      </c>
      <c r="B24" s="5">
        <f t="shared" si="0"/>
        <v>174.70083333333332</v>
      </c>
      <c r="C24" s="1">
        <v>2096.41</v>
      </c>
    </row>
    <row r="25" spans="1:3" ht="15.75">
      <c r="A25" s="1" t="s">
        <v>26</v>
      </c>
      <c r="B25" s="5"/>
    </row>
    <row r="26" spans="1:3" ht="15.75">
      <c r="A26" s="1" t="s">
        <v>27</v>
      </c>
      <c r="B26" s="5">
        <f t="shared" si="0"/>
        <v>6434.6566666666668</v>
      </c>
      <c r="C26" s="1">
        <v>77215.88</v>
      </c>
    </row>
    <row r="27" spans="1:3" ht="15.75">
      <c r="A27" s="1" t="s">
        <v>28</v>
      </c>
      <c r="B27" s="5"/>
    </row>
    <row r="28" spans="1:3" ht="15.75">
      <c r="A28" s="2" t="s">
        <v>10</v>
      </c>
      <c r="B28" s="5">
        <f t="shared" si="0"/>
        <v>28098.69083333333</v>
      </c>
      <c r="C28" s="2">
        <f>SUM(C13:C27)</f>
        <v>337184.29</v>
      </c>
    </row>
    <row r="29" spans="1:3" ht="24.75" customHeight="1">
      <c r="A29" s="2" t="s">
        <v>11</v>
      </c>
      <c r="C29" s="2">
        <v>58943.27</v>
      </c>
    </row>
    <row r="30" spans="1:3" ht="30" customHeight="1">
      <c r="A30" s="2" t="s">
        <v>12</v>
      </c>
    </row>
    <row r="31" spans="1:3" ht="75" customHeight="1">
      <c r="A31" s="3" t="s">
        <v>98</v>
      </c>
      <c r="C31" s="1">
        <v>68543.66</v>
      </c>
    </row>
    <row r="32" spans="1:3" ht="63">
      <c r="A32" s="3" t="s">
        <v>99</v>
      </c>
      <c r="C32" s="1">
        <v>28159.66</v>
      </c>
    </row>
    <row r="33" spans="1:3" ht="32.25" customHeight="1">
      <c r="A33" s="2" t="s">
        <v>97</v>
      </c>
      <c r="C33" s="2">
        <v>-37760.050000000003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7"/>
  <sheetViews>
    <sheetView topLeftCell="A23" workbookViewId="0">
      <selection activeCell="B19" sqref="B19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105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-10622.54</v>
      </c>
    </row>
    <row r="9" spans="1:3" ht="53.25" customHeight="1">
      <c r="A9" s="3" t="s">
        <v>32</v>
      </c>
      <c r="B9" s="5">
        <f>C9/12</f>
        <v>33721.65</v>
      </c>
      <c r="C9" s="1">
        <v>404659.8</v>
      </c>
    </row>
    <row r="10" spans="1:3" ht="46.5" customHeight="1">
      <c r="A10" s="3" t="s">
        <v>33</v>
      </c>
      <c r="B10" s="5">
        <f t="shared" ref="B10:B28" si="0">C10/12</f>
        <v>5002.76</v>
      </c>
      <c r="C10" s="1">
        <f>35480.55+24552.57</f>
        <v>60033.120000000003</v>
      </c>
    </row>
    <row r="11" spans="1:3" ht="18" customHeight="1">
      <c r="A11" s="2" t="s">
        <v>8</v>
      </c>
      <c r="B11" s="5">
        <f t="shared" si="0"/>
        <v>38724.409999999996</v>
      </c>
      <c r="C11" s="2">
        <f>SUM(C9:C10)</f>
        <v>464692.92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9874.68</v>
      </c>
      <c r="C13" s="1">
        <f>96875.8+21620.36</f>
        <v>118496.16</v>
      </c>
    </row>
    <row r="14" spans="1:3" ht="81.75" customHeight="1">
      <c r="A14" s="3" t="s">
        <v>30</v>
      </c>
      <c r="B14" s="5">
        <f t="shared" si="0"/>
        <v>7995.43</v>
      </c>
      <c r="C14" s="1">
        <f>25914.49+70030.67</f>
        <v>95945.16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1754.4166666666667</v>
      </c>
      <c r="C16" s="1">
        <v>21053</v>
      </c>
    </row>
    <row r="17" spans="1:3" ht="15.75">
      <c r="A17" s="1" t="s">
        <v>18</v>
      </c>
      <c r="B17" s="5">
        <f t="shared" si="0"/>
        <v>1455.7766666666666</v>
      </c>
      <c r="C17" s="1">
        <v>17469.32</v>
      </c>
    </row>
    <row r="18" spans="1:3" ht="15.75">
      <c r="A18" s="1" t="s">
        <v>19</v>
      </c>
      <c r="B18" s="5">
        <f t="shared" si="0"/>
        <v>56.639999999999993</v>
      </c>
      <c r="C18" s="1">
        <v>679.68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663.09749999999997</v>
      </c>
      <c r="C20" s="1">
        <v>7957.17</v>
      </c>
    </row>
    <row r="21" spans="1:3" ht="15.75">
      <c r="A21" s="1" t="s">
        <v>22</v>
      </c>
      <c r="B21" s="5">
        <f t="shared" si="0"/>
        <v>1705.9616666666668</v>
      </c>
      <c r="C21" s="1">
        <v>20471.54</v>
      </c>
    </row>
    <row r="22" spans="1:3" ht="15.75">
      <c r="A22" s="1" t="s">
        <v>23</v>
      </c>
      <c r="B22" s="5">
        <f t="shared" si="0"/>
        <v>3178.1800000000003</v>
      </c>
      <c r="C22" s="1">
        <v>38138.160000000003</v>
      </c>
    </row>
    <row r="23" spans="1:3" ht="15.75">
      <c r="A23" s="1" t="s">
        <v>24</v>
      </c>
      <c r="B23" s="5">
        <f t="shared" si="0"/>
        <v>448.4158333333333</v>
      </c>
      <c r="C23" s="1">
        <v>5380.99</v>
      </c>
    </row>
    <row r="24" spans="1:3" ht="15.75">
      <c r="A24" s="1" t="s">
        <v>25</v>
      </c>
      <c r="B24" s="5">
        <f t="shared" si="0"/>
        <v>2040.1558333333332</v>
      </c>
      <c r="C24" s="1">
        <v>24481.87</v>
      </c>
    </row>
    <row r="25" spans="1:3" ht="15.75">
      <c r="A25" s="1" t="s">
        <v>26</v>
      </c>
      <c r="B25" s="5">
        <f t="shared" si="0"/>
        <v>225.16499999999999</v>
      </c>
      <c r="C25" s="1">
        <v>2701.98</v>
      </c>
    </row>
    <row r="26" spans="1:3" ht="15.75">
      <c r="A26" s="1" t="s">
        <v>27</v>
      </c>
      <c r="B26" s="5">
        <f t="shared" si="0"/>
        <v>5006.666666666667</v>
      </c>
      <c r="C26" s="1">
        <v>60080</v>
      </c>
    </row>
    <row r="27" spans="1:3" ht="15.75">
      <c r="A27" s="1" t="s">
        <v>28</v>
      </c>
      <c r="B27" s="5">
        <f t="shared" si="0"/>
        <v>8144.2641666666668</v>
      </c>
      <c r="C27" s="1">
        <v>97731.17</v>
      </c>
    </row>
    <row r="28" spans="1:3" ht="15.75">
      <c r="A28" s="2" t="s">
        <v>10</v>
      </c>
      <c r="B28" s="5">
        <f t="shared" si="0"/>
        <v>42548.85</v>
      </c>
      <c r="C28" s="1">
        <f>SUM(C13:C27)</f>
        <v>510586.2</v>
      </c>
    </row>
    <row r="29" spans="1:3" ht="24.75" customHeight="1">
      <c r="A29" s="2" t="s">
        <v>11</v>
      </c>
      <c r="C29" s="2"/>
    </row>
    <row r="30" spans="1:3" ht="30" customHeight="1">
      <c r="A30" s="2" t="s">
        <v>12</v>
      </c>
      <c r="C30" s="1">
        <v>56515.82</v>
      </c>
    </row>
    <row r="31" spans="1:3" ht="75" customHeight="1">
      <c r="A31" s="3" t="s">
        <v>98</v>
      </c>
      <c r="C31" s="1">
        <v>97532.75</v>
      </c>
    </row>
    <row r="32" spans="1:3" ht="63">
      <c r="A32" s="3" t="s">
        <v>99</v>
      </c>
      <c r="C32" s="1">
        <v>0</v>
      </c>
    </row>
    <row r="33" spans="1:3" ht="32.25" customHeight="1">
      <c r="A33" s="2" t="s">
        <v>97</v>
      </c>
      <c r="C33" s="2">
        <v>-154048.57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C28" sqref="C28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104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-3696.55</v>
      </c>
    </row>
    <row r="9" spans="1:3" ht="53.25" customHeight="1">
      <c r="A9" s="3" t="s">
        <v>32</v>
      </c>
      <c r="B9" s="1">
        <f>C9/12</f>
        <v>42191.15</v>
      </c>
      <c r="C9" s="1">
        <v>506293.8</v>
      </c>
    </row>
    <row r="10" spans="1:3" ht="46.5" customHeight="1">
      <c r="A10" s="3" t="s">
        <v>33</v>
      </c>
      <c r="B10" s="5">
        <f t="shared" ref="B10:B28" si="0">C10/12</f>
        <v>1252.1025</v>
      </c>
      <c r="C10" s="1">
        <v>15025.23</v>
      </c>
    </row>
    <row r="11" spans="1:3" ht="18" customHeight="1">
      <c r="A11" s="2" t="s">
        <v>8</v>
      </c>
      <c r="B11" s="5">
        <f t="shared" si="0"/>
        <v>43443.252499999995</v>
      </c>
      <c r="C11" s="2">
        <f>SUM(C9:C10)</f>
        <v>521319.02999999997</v>
      </c>
    </row>
    <row r="12" spans="1:3" ht="14.25" customHeight="1">
      <c r="A12" s="2" t="s">
        <v>9</v>
      </c>
      <c r="B12" s="1">
        <f t="shared" si="0"/>
        <v>0</v>
      </c>
    </row>
    <row r="13" spans="1:3" ht="85.5" customHeight="1">
      <c r="A13" s="3" t="s">
        <v>29</v>
      </c>
      <c r="B13" s="5">
        <f t="shared" si="0"/>
        <v>10586.018333333333</v>
      </c>
      <c r="C13" s="1">
        <f>103875.3+23156.92</f>
        <v>127032.22</v>
      </c>
    </row>
    <row r="14" spans="1:3" ht="81.75" customHeight="1">
      <c r="A14" s="3" t="s">
        <v>30</v>
      </c>
      <c r="B14" s="5">
        <f t="shared" si="0"/>
        <v>9449.5883333333331</v>
      </c>
      <c r="C14" s="1">
        <f>31438.83+81956.23</f>
        <v>113395.06</v>
      </c>
    </row>
    <row r="15" spans="1:3" ht="66" customHeight="1">
      <c r="A15" s="3" t="s">
        <v>31</v>
      </c>
    </row>
    <row r="16" spans="1:3" ht="16.5" customHeight="1">
      <c r="A16" s="1" t="s">
        <v>17</v>
      </c>
      <c r="B16" s="5">
        <f t="shared" si="0"/>
        <v>2573.3333333333335</v>
      </c>
      <c r="C16" s="1">
        <v>30880</v>
      </c>
    </row>
    <row r="17" spans="1:3" ht="15.75">
      <c r="A17" s="1" t="s">
        <v>18</v>
      </c>
      <c r="B17" s="5">
        <f t="shared" si="0"/>
        <v>1527.575</v>
      </c>
      <c r="C17" s="1">
        <v>18330.900000000001</v>
      </c>
    </row>
    <row r="18" spans="1:3" ht="15.75">
      <c r="A18" s="1" t="s">
        <v>19</v>
      </c>
      <c r="B18" s="1">
        <f t="shared" si="0"/>
        <v>171.95000000000002</v>
      </c>
      <c r="C18" s="1">
        <v>2063.4</v>
      </c>
    </row>
    <row r="19" spans="1:3" ht="15.75">
      <c r="A19" s="1" t="s">
        <v>20</v>
      </c>
    </row>
    <row r="20" spans="1:3" ht="15.75">
      <c r="A20" s="1" t="s">
        <v>21</v>
      </c>
      <c r="B20" s="5">
        <f t="shared" si="0"/>
        <v>736.77499999999998</v>
      </c>
      <c r="C20" s="1">
        <v>8841.2999999999993</v>
      </c>
    </row>
    <row r="21" spans="1:3" ht="15.75">
      <c r="A21" s="1" t="s">
        <v>22</v>
      </c>
      <c r="B21" s="5">
        <f t="shared" si="0"/>
        <v>1931.2075000000002</v>
      </c>
      <c r="C21" s="1">
        <v>23174.49</v>
      </c>
    </row>
    <row r="22" spans="1:3" ht="15.75">
      <c r="A22" s="1" t="s">
        <v>23</v>
      </c>
      <c r="B22" s="5">
        <f t="shared" si="0"/>
        <v>3371.6341666666667</v>
      </c>
      <c r="C22" s="1">
        <v>40459.61</v>
      </c>
    </row>
    <row r="23" spans="1:3" ht="15.75">
      <c r="A23" s="1" t="s">
        <v>24</v>
      </c>
      <c r="B23" s="5">
        <f t="shared" si="0"/>
        <v>498.93833333333333</v>
      </c>
      <c r="C23" s="1">
        <v>5987.26</v>
      </c>
    </row>
    <row r="24" spans="1:3" ht="15.75">
      <c r="A24" s="1" t="s">
        <v>25</v>
      </c>
      <c r="B24" s="5">
        <f t="shared" si="0"/>
        <v>2288.7633333333333</v>
      </c>
      <c r="C24" s="1">
        <v>27465.16</v>
      </c>
    </row>
    <row r="25" spans="1:3" ht="15.75">
      <c r="A25" s="1" t="s">
        <v>26</v>
      </c>
      <c r="B25" s="5">
        <f t="shared" si="0"/>
        <v>262.45166666666665</v>
      </c>
      <c r="C25" s="1">
        <v>3149.42</v>
      </c>
    </row>
    <row r="26" spans="1:3" ht="15.75">
      <c r="A26" s="1" t="s">
        <v>27</v>
      </c>
    </row>
    <row r="27" spans="1:3" ht="15.75">
      <c r="A27" s="1" t="s">
        <v>28</v>
      </c>
      <c r="B27" s="5">
        <f t="shared" si="0"/>
        <v>8552.6241666666665</v>
      </c>
      <c r="C27" s="1">
        <v>102631.49</v>
      </c>
    </row>
    <row r="28" spans="1:3" ht="15.75">
      <c r="A28" s="2" t="s">
        <v>10</v>
      </c>
      <c r="B28" s="5">
        <f t="shared" si="0"/>
        <v>41950.859166666669</v>
      </c>
      <c r="C28" s="2">
        <f>SUM(C13:C27)</f>
        <v>503410.31</v>
      </c>
    </row>
    <row r="29" spans="1:3" ht="24.75" customHeight="1">
      <c r="A29" s="2" t="s">
        <v>11</v>
      </c>
      <c r="C29" s="2">
        <v>14212.17</v>
      </c>
    </row>
    <row r="30" spans="1:3" ht="30" customHeight="1">
      <c r="A30" s="2" t="s">
        <v>12</v>
      </c>
    </row>
    <row r="31" spans="1:3" ht="75" customHeight="1">
      <c r="A31" s="3" t="s">
        <v>98</v>
      </c>
      <c r="C31" s="1">
        <v>70488.990000000005</v>
      </c>
    </row>
    <row r="32" spans="1:3" ht="63">
      <c r="A32" s="3" t="s">
        <v>99</v>
      </c>
      <c r="C32" s="1">
        <v>26324.77</v>
      </c>
    </row>
    <row r="33" spans="1:3" ht="32.25" customHeight="1">
      <c r="A33" s="2" t="s">
        <v>97</v>
      </c>
      <c r="C33" s="2">
        <v>-82601.59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E33" sqref="E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103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11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33409.71</v>
      </c>
    </row>
    <row r="9" spans="1:3" ht="53.25" customHeight="1">
      <c r="A9" s="3" t="s">
        <v>32</v>
      </c>
      <c r="B9" s="5">
        <f>C9/12</f>
        <v>29891.658333333336</v>
      </c>
      <c r="C9" s="1">
        <v>358699.9</v>
      </c>
    </row>
    <row r="10" spans="1:3" ht="46.5" customHeight="1">
      <c r="A10" s="3" t="s">
        <v>33</v>
      </c>
      <c r="B10" s="5">
        <f t="shared" ref="B10:B28" si="0">C10/12</f>
        <v>862.35249999999996</v>
      </c>
      <c r="C10" s="1">
        <v>10348.23</v>
      </c>
    </row>
    <row r="11" spans="1:3" ht="18" customHeight="1">
      <c r="A11" s="2" t="s">
        <v>8</v>
      </c>
      <c r="B11" s="5">
        <f t="shared" si="0"/>
        <v>30754.010833333334</v>
      </c>
      <c r="C11" s="2">
        <f>SUM(C9:C10)</f>
        <v>369048.13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7724.1316666666671</v>
      </c>
      <c r="C13" s="1">
        <f>75793.05+16896.53</f>
        <v>92689.58</v>
      </c>
    </row>
    <row r="14" spans="1:3" ht="81.75" customHeight="1">
      <c r="A14" s="3" t="s">
        <v>30</v>
      </c>
      <c r="B14" s="5">
        <f t="shared" si="0"/>
        <v>4764.4224999999997</v>
      </c>
      <c r="C14" s="1">
        <f>21396.97+35776.1</f>
        <v>57173.07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334.83333333333331</v>
      </c>
      <c r="C16" s="1">
        <v>4018</v>
      </c>
    </row>
    <row r="17" spans="1:3" ht="15.75">
      <c r="A17" s="1" t="s">
        <v>18</v>
      </c>
      <c r="B17" s="5">
        <f t="shared" si="0"/>
        <v>1121.3433333333335</v>
      </c>
      <c r="C17" s="1">
        <v>13456.12</v>
      </c>
    </row>
    <row r="18" spans="1:3" ht="15.75">
      <c r="A18" s="1" t="s">
        <v>19</v>
      </c>
      <c r="B18" s="5">
        <f t="shared" si="0"/>
        <v>106.25999999999999</v>
      </c>
      <c r="C18" s="1">
        <v>1275.1199999999999</v>
      </c>
    </row>
    <row r="19" spans="1:3" ht="15.75">
      <c r="A19" s="1" t="s">
        <v>20</v>
      </c>
      <c r="B19" s="5"/>
    </row>
    <row r="20" spans="1:3" ht="15.75">
      <c r="A20" s="1" t="s">
        <v>21</v>
      </c>
      <c r="B20" s="5">
        <f t="shared" si="0"/>
        <v>552.58083333333332</v>
      </c>
      <c r="C20" s="1">
        <v>6630.97</v>
      </c>
    </row>
    <row r="21" spans="1:3" ht="15.75">
      <c r="A21" s="1" t="s">
        <v>22</v>
      </c>
      <c r="B21" s="5">
        <f t="shared" si="0"/>
        <v>1350.4716666666666</v>
      </c>
      <c r="C21" s="1">
        <v>16205.66</v>
      </c>
    </row>
    <row r="22" spans="1:3" ht="15.75">
      <c r="A22" s="1" t="s">
        <v>23</v>
      </c>
      <c r="B22" s="5">
        <f t="shared" si="0"/>
        <v>2460.1266666666666</v>
      </c>
      <c r="C22" s="1">
        <v>29521.52</v>
      </c>
    </row>
    <row r="23" spans="1:3" ht="15.75">
      <c r="A23" s="1" t="s">
        <v>24</v>
      </c>
      <c r="B23" s="5">
        <f t="shared" si="0"/>
        <v>650.36749999999995</v>
      </c>
      <c r="C23" s="1">
        <v>7804.41</v>
      </c>
    </row>
    <row r="24" spans="1:3" ht="15.75">
      <c r="A24" s="1" t="s">
        <v>25</v>
      </c>
      <c r="B24" s="5">
        <f t="shared" si="0"/>
        <v>1620.2441666666666</v>
      </c>
      <c r="C24" s="1">
        <v>19442.93</v>
      </c>
    </row>
    <row r="25" spans="1:3" ht="15.75">
      <c r="A25" s="1" t="s">
        <v>26</v>
      </c>
      <c r="B25" s="5">
        <f t="shared" si="0"/>
        <v>174.70083333333332</v>
      </c>
      <c r="C25" s="1">
        <v>2096.41</v>
      </c>
    </row>
    <row r="26" spans="1:3" ht="15.75">
      <c r="A26" s="1" t="s">
        <v>27</v>
      </c>
      <c r="B26" s="5">
        <f t="shared" si="0"/>
        <v>165</v>
      </c>
      <c r="C26" s="1">
        <v>1980</v>
      </c>
    </row>
    <row r="27" spans="1:3" ht="15.75">
      <c r="A27" s="1" t="s">
        <v>28</v>
      </c>
      <c r="B27" s="5">
        <f t="shared" si="0"/>
        <v>6280.2541666666666</v>
      </c>
      <c r="C27" s="1">
        <v>75363.05</v>
      </c>
    </row>
    <row r="28" spans="1:3" ht="15.75">
      <c r="A28" s="2" t="s">
        <v>10</v>
      </c>
      <c r="B28" s="5">
        <f t="shared" si="0"/>
        <v>27304.736666666664</v>
      </c>
      <c r="C28" s="2">
        <f>SUM(C13:C27)</f>
        <v>327656.83999999997</v>
      </c>
    </row>
    <row r="29" spans="1:3" ht="24.75" customHeight="1">
      <c r="A29" s="2" t="s">
        <v>11</v>
      </c>
      <c r="C29" s="2">
        <v>74801</v>
      </c>
    </row>
    <row r="30" spans="1:3" ht="30" customHeight="1">
      <c r="A30" s="2" t="s">
        <v>12</v>
      </c>
    </row>
    <row r="31" spans="1:3" ht="75" customHeight="1">
      <c r="A31" s="3" t="s">
        <v>98</v>
      </c>
      <c r="C31" s="1">
        <v>70473.5</v>
      </c>
    </row>
    <row r="32" spans="1:3" ht="63">
      <c r="A32" s="3" t="s">
        <v>99</v>
      </c>
      <c r="C32" s="1">
        <v>19541.16</v>
      </c>
    </row>
    <row r="33" spans="1:3" ht="32.25" customHeight="1">
      <c r="A33" s="2" t="s">
        <v>97</v>
      </c>
      <c r="C33" s="2">
        <v>-15213.66</v>
      </c>
    </row>
    <row r="34" spans="1:3" ht="53.25" customHeight="1">
      <c r="A34" s="1" t="s">
        <v>16</v>
      </c>
    </row>
    <row r="35" spans="1:3" ht="61.5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A33" sqref="A33"/>
    </sheetView>
  </sheetViews>
  <sheetFormatPr defaultRowHeight="14.25" customHeight="1"/>
  <cols>
    <col min="1" max="1" width="47.2851562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124</v>
      </c>
      <c r="B2" s="1" t="s">
        <v>114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12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-75155</v>
      </c>
    </row>
    <row r="9" spans="1:3" ht="53.25" customHeight="1">
      <c r="A9" s="3" t="s">
        <v>32</v>
      </c>
      <c r="B9" s="5">
        <f>C9/12</f>
        <v>64797.866666666669</v>
      </c>
      <c r="C9" s="1">
        <v>777574.40000000002</v>
      </c>
    </row>
    <row r="10" spans="1:3" ht="46.5" customHeight="1">
      <c r="A10" s="3" t="s">
        <v>33</v>
      </c>
      <c r="B10" s="5">
        <f t="shared" ref="B10:B28" si="0">C10/12</f>
        <v>7799.9191666666666</v>
      </c>
      <c r="C10" s="1">
        <f>63155.36+30443.67</f>
        <v>93599.03</v>
      </c>
    </row>
    <row r="11" spans="1:3" ht="18" customHeight="1">
      <c r="A11" s="2" t="s">
        <v>8</v>
      </c>
      <c r="B11" s="5">
        <f t="shared" si="0"/>
        <v>72597.785833333342</v>
      </c>
      <c r="C11" s="2">
        <f>SUM(C9:C10)</f>
        <v>871173.43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18672.48</v>
      </c>
      <c r="C13" s="1">
        <f>183223.7+40846.06</f>
        <v>224069.76000000001</v>
      </c>
    </row>
    <row r="14" spans="1:3" ht="81.75" customHeight="1">
      <c r="A14" s="3" t="s">
        <v>30</v>
      </c>
      <c r="B14" s="5">
        <f t="shared" si="0"/>
        <v>14176.819166666668</v>
      </c>
      <c r="C14" s="1">
        <f>71932.1+98189.73</f>
        <v>170121.83000000002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16565.833333333332</v>
      </c>
      <c r="C16" s="1">
        <v>198790</v>
      </c>
    </row>
    <row r="17" spans="1:3" ht="14.25" customHeight="1">
      <c r="A17" s="1" t="s">
        <v>18</v>
      </c>
      <c r="B17" s="5">
        <f t="shared" si="0"/>
        <v>2607.2000000000003</v>
      </c>
      <c r="C17" s="1">
        <v>31286.400000000001</v>
      </c>
    </row>
    <row r="18" spans="1:3" ht="14.25" customHeight="1">
      <c r="A18" s="1" t="s">
        <v>19</v>
      </c>
      <c r="B18" s="5">
        <f t="shared" si="0"/>
        <v>606.29666666666674</v>
      </c>
      <c r="C18" s="1">
        <v>7275.56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838.07999999999993</v>
      </c>
      <c r="C20" s="1">
        <v>10056.959999999999</v>
      </c>
    </row>
    <row r="21" spans="1:3" ht="14.25" customHeight="1">
      <c r="A21" s="1" t="s">
        <v>22</v>
      </c>
      <c r="B21" s="5">
        <f t="shared" si="0"/>
        <v>3212.7591666666667</v>
      </c>
      <c r="C21" s="1">
        <v>38553.11</v>
      </c>
    </row>
    <row r="22" spans="1:3" ht="14.25" customHeight="1">
      <c r="A22" s="1" t="s">
        <v>23</v>
      </c>
      <c r="B22" s="5">
        <f t="shared" si="0"/>
        <v>5947.1633333333339</v>
      </c>
      <c r="C22" s="1">
        <v>71365.960000000006</v>
      </c>
    </row>
    <row r="23" spans="1:3" ht="14.25" customHeight="1">
      <c r="A23" s="1" t="s">
        <v>24</v>
      </c>
      <c r="B23" s="5">
        <f t="shared" si="0"/>
        <v>136.58166666666668</v>
      </c>
      <c r="C23" s="1">
        <v>1638.98</v>
      </c>
    </row>
    <row r="24" spans="1:3" ht="14.25" customHeight="1">
      <c r="A24" s="1" t="s">
        <v>25</v>
      </c>
      <c r="B24" s="5">
        <f t="shared" si="0"/>
        <v>3824.74</v>
      </c>
      <c r="C24" s="1">
        <v>45896.88</v>
      </c>
    </row>
    <row r="25" spans="1:3" ht="14.25" customHeight="1">
      <c r="A25" s="1" t="s">
        <v>26</v>
      </c>
      <c r="B25" s="5">
        <f t="shared" si="0"/>
        <v>303.6033333333333</v>
      </c>
      <c r="C25" s="1">
        <v>3643.24</v>
      </c>
    </row>
    <row r="26" spans="1:3" ht="14.25" customHeight="1">
      <c r="A26" s="1" t="s">
        <v>27</v>
      </c>
      <c r="B26" s="5">
        <f t="shared" si="0"/>
        <v>983.30000000000007</v>
      </c>
      <c r="C26" s="1">
        <v>11799.6</v>
      </c>
    </row>
    <row r="27" spans="1:3" ht="14.25" customHeight="1">
      <c r="A27" s="1" t="s">
        <v>28</v>
      </c>
      <c r="B27" s="5">
        <f t="shared" si="0"/>
        <v>14759.282500000001</v>
      </c>
      <c r="C27" s="1">
        <v>177111.39</v>
      </c>
    </row>
    <row r="28" spans="1:3" ht="14.25" customHeight="1">
      <c r="A28" s="2" t="s">
        <v>10</v>
      </c>
      <c r="B28" s="5">
        <f t="shared" si="0"/>
        <v>82634.139166666675</v>
      </c>
      <c r="C28" s="2">
        <f>SUM(C13:C27)</f>
        <v>991609.67</v>
      </c>
    </row>
    <row r="29" spans="1:3" ht="30.75" customHeight="1">
      <c r="A29" s="2" t="s">
        <v>11</v>
      </c>
    </row>
    <row r="30" spans="1:3" ht="39.75" customHeight="1">
      <c r="A30" s="2" t="s">
        <v>12</v>
      </c>
      <c r="C30" s="2">
        <v>195591.24</v>
      </c>
    </row>
    <row r="31" spans="1:3" ht="67.5" customHeight="1">
      <c r="A31" s="3" t="s">
        <v>34</v>
      </c>
      <c r="C31" s="1">
        <v>110682.22</v>
      </c>
    </row>
    <row r="32" spans="1:3" ht="63.75" customHeight="1">
      <c r="A32" s="3" t="s">
        <v>35</v>
      </c>
      <c r="C32" s="1">
        <v>55156.33</v>
      </c>
    </row>
    <row r="33" spans="1:3" ht="21" customHeight="1">
      <c r="A33" s="2" t="s">
        <v>101</v>
      </c>
      <c r="B33" s="2"/>
      <c r="C33" s="2">
        <v>-361429.79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B15" sqref="B15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115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13.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84638.59</v>
      </c>
    </row>
    <row r="9" spans="1:3" ht="53.25" customHeight="1">
      <c r="A9" s="3" t="s">
        <v>32</v>
      </c>
      <c r="B9" s="5">
        <f>C9/12</f>
        <v>56580.862499999996</v>
      </c>
      <c r="C9" s="1">
        <f>678970.35</f>
        <v>678970.35</v>
      </c>
    </row>
    <row r="10" spans="1:3" ht="46.5" customHeight="1">
      <c r="A10" s="3" t="s">
        <v>33</v>
      </c>
      <c r="B10" s="5">
        <f t="shared" ref="B10:B28" si="0">C10/12</f>
        <v>2316.4275000000002</v>
      </c>
      <c r="C10" s="1">
        <v>27797.13</v>
      </c>
    </row>
    <row r="11" spans="1:3" ht="18" customHeight="1">
      <c r="A11" s="2" t="s">
        <v>8</v>
      </c>
      <c r="B11" s="5">
        <f t="shared" si="0"/>
        <v>58897.29</v>
      </c>
      <c r="C11" s="2">
        <f>SUM(C9:C10)</f>
        <v>706767.48</v>
      </c>
    </row>
    <row r="12" spans="1:3" ht="17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14215.969166666668</v>
      </c>
      <c r="C13" s="1">
        <f>139494.19+31097.44</f>
        <v>170591.63</v>
      </c>
    </row>
    <row r="14" spans="1:3" ht="81.75" customHeight="1">
      <c r="A14" s="3" t="s">
        <v>30</v>
      </c>
      <c r="B14" s="5">
        <f t="shared" si="0"/>
        <v>7623.1750000000002</v>
      </c>
      <c r="C14" s="1">
        <f>42250.85+49227.25</f>
        <v>91478.1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3949.5</v>
      </c>
      <c r="C16" s="1">
        <v>47394</v>
      </c>
    </row>
    <row r="17" spans="1:3" ht="14.25" customHeight="1">
      <c r="A17" s="1" t="s">
        <v>18</v>
      </c>
      <c r="B17" s="5">
        <f t="shared" si="0"/>
        <v>2051.19</v>
      </c>
      <c r="C17" s="1">
        <v>24614.28</v>
      </c>
    </row>
    <row r="18" spans="1:3" ht="14.25" customHeight="1">
      <c r="A18" s="1" t="s">
        <v>19</v>
      </c>
      <c r="B18" s="5">
        <f t="shared" si="0"/>
        <v>200.07000000000002</v>
      </c>
      <c r="C18" s="1">
        <v>2400.84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930.17833333333328</v>
      </c>
      <c r="C20" s="1">
        <v>11162.14</v>
      </c>
    </row>
    <row r="21" spans="1:3" ht="14.25" customHeight="1">
      <c r="A21" s="1" t="s">
        <v>22</v>
      </c>
      <c r="B21" s="5">
        <f t="shared" si="0"/>
        <v>2598.3533333333335</v>
      </c>
      <c r="C21" s="1">
        <v>31180.240000000002</v>
      </c>
    </row>
    <row r="22" spans="1:3" ht="14.25" customHeight="1">
      <c r="A22" s="1" t="s">
        <v>23</v>
      </c>
      <c r="B22" s="5">
        <f t="shared" si="0"/>
        <v>4527.7691666666669</v>
      </c>
      <c r="C22" s="1">
        <v>54333.23</v>
      </c>
    </row>
    <row r="23" spans="1:3" ht="14.25" customHeight="1">
      <c r="A23" s="1" t="s">
        <v>24</v>
      </c>
      <c r="B23" s="5">
        <f t="shared" si="0"/>
        <v>69.183333333333337</v>
      </c>
      <c r="C23" s="1">
        <v>830.2</v>
      </c>
    </row>
    <row r="24" spans="1:3" ht="14.25" customHeight="1">
      <c r="A24" s="1" t="s">
        <v>25</v>
      </c>
      <c r="B24" s="5">
        <f t="shared" si="0"/>
        <v>3102.9433333333332</v>
      </c>
      <c r="C24" s="1">
        <v>37235.32</v>
      </c>
    </row>
    <row r="25" spans="1:3" ht="14.25" customHeight="1">
      <c r="A25" s="1" t="s">
        <v>26</v>
      </c>
      <c r="B25" s="5">
        <f t="shared" si="0"/>
        <v>303.85750000000002</v>
      </c>
      <c r="C25" s="1">
        <v>3646.29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13203.143333333333</v>
      </c>
      <c r="C27" s="1">
        <v>158437.72</v>
      </c>
    </row>
    <row r="28" spans="1:3" ht="14.25" customHeight="1">
      <c r="A28" s="2" t="s">
        <v>10</v>
      </c>
      <c r="B28" s="5">
        <f t="shared" si="0"/>
        <v>52775.332499999997</v>
      </c>
      <c r="C28" s="2">
        <f>SUM(C13:C27)</f>
        <v>633303.99</v>
      </c>
    </row>
    <row r="29" spans="1:3" ht="27" customHeight="1">
      <c r="A29" s="2" t="s">
        <v>11</v>
      </c>
      <c r="C29" s="2">
        <v>158102.07999999999</v>
      </c>
    </row>
    <row r="30" spans="1:3" ht="26.25" customHeight="1">
      <c r="A30" s="2" t="s">
        <v>12</v>
      </c>
      <c r="C30" s="2"/>
    </row>
    <row r="31" spans="1:3" ht="67.5" customHeight="1">
      <c r="A31" s="3" t="s">
        <v>34</v>
      </c>
      <c r="C31" s="1">
        <v>87686.3</v>
      </c>
    </row>
    <row r="32" spans="1:3" ht="63.75" customHeight="1">
      <c r="A32" s="3" t="s">
        <v>35</v>
      </c>
      <c r="C32" s="1">
        <v>43043.8</v>
      </c>
    </row>
    <row r="33" spans="1:3" ht="15.75">
      <c r="A33" s="2" t="s">
        <v>101</v>
      </c>
      <c r="B33" s="2"/>
      <c r="C33" s="2">
        <v>27371.98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B12" sqref="B12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116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8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13625.88</v>
      </c>
    </row>
    <row r="9" spans="1:3" ht="53.25" customHeight="1">
      <c r="A9" s="3" t="s">
        <v>32</v>
      </c>
      <c r="B9" s="5">
        <f>C9/12</f>
        <v>54173.25</v>
      </c>
      <c r="C9" s="1">
        <v>650079</v>
      </c>
    </row>
    <row r="10" spans="1:3" ht="46.5" customHeight="1">
      <c r="A10" s="3" t="s">
        <v>33</v>
      </c>
      <c r="B10" s="5">
        <f t="shared" ref="B10:B28" si="0">C10/12</f>
        <v>7332.8108333333339</v>
      </c>
      <c r="C10" s="1">
        <f>68633.6+19360.13</f>
        <v>87993.73000000001</v>
      </c>
    </row>
    <row r="11" spans="1:3" ht="18" customHeight="1">
      <c r="A11" s="2" t="s">
        <v>8</v>
      </c>
      <c r="B11" s="5">
        <f t="shared" si="0"/>
        <v>61506.060833333329</v>
      </c>
      <c r="C11" s="2">
        <f>SUM(C9:C10)</f>
        <v>738072.73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15289.919999999998</v>
      </c>
      <c r="C13" s="1">
        <f>150032.34+33446.7</f>
        <v>183479.03999999998</v>
      </c>
    </row>
    <row r="14" spans="1:3" ht="81.75" customHeight="1">
      <c r="A14" s="3" t="s">
        <v>30</v>
      </c>
      <c r="B14" s="5">
        <f t="shared" si="0"/>
        <v>9940.8874999999989</v>
      </c>
      <c r="C14" s="1">
        <f>40009.45+79281.2</f>
        <v>119290.65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506</v>
      </c>
      <c r="C16" s="1">
        <v>6072</v>
      </c>
    </row>
    <row r="17" spans="1:3" ht="14.25" customHeight="1">
      <c r="A17" s="1" t="s">
        <v>18</v>
      </c>
      <c r="B17" s="5">
        <f t="shared" si="0"/>
        <v>2231.6833333333334</v>
      </c>
      <c r="C17" s="1">
        <v>26780.2</v>
      </c>
    </row>
    <row r="18" spans="1:3" ht="14.25" customHeight="1">
      <c r="A18" s="1" t="s">
        <v>19</v>
      </c>
      <c r="B18" s="5">
        <f t="shared" si="0"/>
        <v>209.16</v>
      </c>
      <c r="C18" s="1">
        <v>2509.92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994.64583333333337</v>
      </c>
      <c r="C20" s="1">
        <v>11935.75</v>
      </c>
    </row>
    <row r="21" spans="1:3" ht="14.25" customHeight="1">
      <c r="A21" s="1" t="s">
        <v>22</v>
      </c>
      <c r="B21" s="5">
        <f t="shared" si="0"/>
        <v>2741.0166666666664</v>
      </c>
      <c r="C21" s="1">
        <v>32892.199999999997</v>
      </c>
    </row>
    <row r="22" spans="1:3" ht="14.25" customHeight="1">
      <c r="A22" s="1" t="s">
        <v>23</v>
      </c>
      <c r="B22" s="5">
        <f t="shared" si="0"/>
        <v>4869.8216666666667</v>
      </c>
      <c r="C22" s="1">
        <v>58437.86</v>
      </c>
    </row>
    <row r="23" spans="1:3" ht="14.25" customHeight="1">
      <c r="A23" s="1" t="s">
        <v>24</v>
      </c>
      <c r="B23" s="5">
        <f t="shared" si="0"/>
        <v>792.36833333333334</v>
      </c>
      <c r="C23" s="1">
        <v>9508.42</v>
      </c>
    </row>
    <row r="24" spans="1:3" ht="14.25" customHeight="1">
      <c r="A24" s="1" t="s">
        <v>25</v>
      </c>
      <c r="B24" s="5">
        <f t="shared" si="0"/>
        <v>3240.3841666666667</v>
      </c>
      <c r="C24" s="1">
        <v>38884.61</v>
      </c>
    </row>
    <row r="25" spans="1:3" ht="14.25" customHeight="1">
      <c r="A25" s="1" t="s">
        <v>26</v>
      </c>
      <c r="B25" s="5">
        <f t="shared" si="0"/>
        <v>334.56916666666666</v>
      </c>
      <c r="C25" s="1">
        <v>4014.83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12492.2875</v>
      </c>
      <c r="C27" s="1">
        <v>149907.45000000001</v>
      </c>
    </row>
    <row r="28" spans="1:3" ht="14.25" customHeight="1">
      <c r="A28" s="2" t="s">
        <v>10</v>
      </c>
      <c r="B28" s="5">
        <f t="shared" si="0"/>
        <v>53642.744166666664</v>
      </c>
      <c r="C28" s="2">
        <f>SUM(C13:C27)</f>
        <v>643712.92999999993</v>
      </c>
    </row>
    <row r="29" spans="1:3" ht="25.5" customHeight="1">
      <c r="A29" s="2" t="s">
        <v>11</v>
      </c>
      <c r="C29" s="2">
        <v>107984.68</v>
      </c>
    </row>
    <row r="30" spans="1:3" ht="35.25" customHeight="1">
      <c r="A30" s="2" t="s">
        <v>12</v>
      </c>
      <c r="C30" s="2"/>
    </row>
    <row r="31" spans="1:3" ht="67.5" customHeight="1">
      <c r="A31" s="3" t="s">
        <v>34</v>
      </c>
      <c r="C31" s="1">
        <v>163635.5</v>
      </c>
    </row>
    <row r="32" spans="1:3" ht="63.75" customHeight="1">
      <c r="A32" s="3" t="s">
        <v>35</v>
      </c>
      <c r="C32" s="1">
        <v>33726.54</v>
      </c>
    </row>
    <row r="33" spans="1:3" ht="15.75">
      <c r="A33" s="2" t="s">
        <v>101</v>
      </c>
      <c r="B33" s="2"/>
      <c r="C33" s="2">
        <v>-89377.36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A34" sqref="A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117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9.7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-8905.76</v>
      </c>
    </row>
    <row r="9" spans="1:3" ht="53.25" customHeight="1">
      <c r="A9" s="3" t="s">
        <v>32</v>
      </c>
      <c r="B9" s="5">
        <f>C9/12</f>
        <v>41269.950000000004</v>
      </c>
      <c r="C9" s="1">
        <v>495239.4</v>
      </c>
    </row>
    <row r="10" spans="1:3" ht="46.5" customHeight="1">
      <c r="A10" s="3" t="s">
        <v>33</v>
      </c>
      <c r="B10" s="5">
        <f t="shared" ref="B10:B28" si="0">C10/12</f>
        <v>1259.325</v>
      </c>
      <c r="C10" s="1">
        <v>15111.9</v>
      </c>
    </row>
    <row r="11" spans="1:3" ht="18" customHeight="1">
      <c r="A11" s="2" t="s">
        <v>8</v>
      </c>
      <c r="B11" s="5">
        <f t="shared" si="0"/>
        <v>42529.275000000001</v>
      </c>
      <c r="C11" s="2">
        <f>SUM(C9:C10)</f>
        <v>510351.30000000005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10648.511666666667</v>
      </c>
      <c r="C13" s="1">
        <f>104488.52+23293.62</f>
        <v>127782.14</v>
      </c>
    </row>
    <row r="14" spans="1:3" ht="81.75" customHeight="1">
      <c r="A14" s="3" t="s">
        <v>30</v>
      </c>
      <c r="B14" s="5">
        <f t="shared" si="0"/>
        <v>9550.4250000000011</v>
      </c>
      <c r="C14" s="1">
        <f>37037.37+77567.73</f>
        <v>114605.1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1427.75</v>
      </c>
      <c r="C16" s="1">
        <v>17133</v>
      </c>
    </row>
    <row r="17" spans="1:3" ht="14.25" customHeight="1">
      <c r="A17" s="1" t="s">
        <v>18</v>
      </c>
      <c r="B17" s="5">
        <f t="shared" si="0"/>
        <v>1504.8666666666668</v>
      </c>
      <c r="C17" s="1">
        <v>18058.400000000001</v>
      </c>
    </row>
    <row r="18" spans="1:3" ht="14.25" customHeight="1">
      <c r="A18" s="1" t="s">
        <v>19</v>
      </c>
      <c r="B18" s="5">
        <f t="shared" si="0"/>
        <v>152.06</v>
      </c>
      <c r="C18" s="1">
        <v>1824.72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745.98500000000001</v>
      </c>
      <c r="C20" s="1">
        <v>8951.82</v>
      </c>
    </row>
    <row r="21" spans="1:3" ht="14.25" customHeight="1">
      <c r="A21" s="1" t="s">
        <v>22</v>
      </c>
      <c r="B21" s="5">
        <f t="shared" si="0"/>
        <v>1882.0691666666669</v>
      </c>
      <c r="C21" s="1">
        <v>22584.83</v>
      </c>
    </row>
    <row r="22" spans="1:3" ht="14.25" customHeight="1">
      <c r="A22" s="1" t="s">
        <v>23</v>
      </c>
      <c r="B22" s="5">
        <f t="shared" si="0"/>
        <v>3391.5383333333334</v>
      </c>
      <c r="C22" s="1">
        <v>40698.46</v>
      </c>
    </row>
    <row r="23" spans="1:3" ht="14.25" customHeight="1">
      <c r="A23" s="1" t="s">
        <v>24</v>
      </c>
      <c r="B23" s="5">
        <f t="shared" si="0"/>
        <v>371.10916666666668</v>
      </c>
      <c r="C23" s="1">
        <v>4453.3100000000004</v>
      </c>
    </row>
    <row r="24" spans="1:3" ht="14.25" customHeight="1">
      <c r="A24" s="1" t="s">
        <v>25</v>
      </c>
      <c r="B24" s="5">
        <f t="shared" si="0"/>
        <v>2240.6116666666667</v>
      </c>
      <c r="C24" s="1">
        <v>26887.34</v>
      </c>
    </row>
    <row r="25" spans="1:3" ht="14.25" customHeight="1">
      <c r="A25" s="1" t="s">
        <v>26</v>
      </c>
      <c r="B25" s="5">
        <f t="shared" si="0"/>
        <v>224.98083333333332</v>
      </c>
      <c r="C25" s="1">
        <v>2699.77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8464.2266666666674</v>
      </c>
      <c r="C27" s="1">
        <v>101570.72</v>
      </c>
    </row>
    <row r="28" spans="1:3" ht="14.25" customHeight="1">
      <c r="A28" s="2" t="s">
        <v>10</v>
      </c>
      <c r="B28" s="5">
        <f t="shared" si="0"/>
        <v>40604.134166666678</v>
      </c>
      <c r="C28" s="2">
        <f>SUM(C13:C27)</f>
        <v>487249.6100000001</v>
      </c>
    </row>
    <row r="29" spans="1:3" ht="24" customHeight="1">
      <c r="A29" s="2" t="s">
        <v>11</v>
      </c>
      <c r="C29" s="2">
        <v>14195.93</v>
      </c>
    </row>
    <row r="30" spans="1:3" ht="30.75" customHeight="1">
      <c r="A30" s="2" t="s">
        <v>12</v>
      </c>
      <c r="C30" s="2"/>
    </row>
    <row r="31" spans="1:3" ht="67.5" customHeight="1">
      <c r="A31" s="3" t="s">
        <v>34</v>
      </c>
      <c r="C31" s="1">
        <v>91275.1</v>
      </c>
    </row>
    <row r="32" spans="1:3" ht="63.75" customHeight="1">
      <c r="A32" s="3" t="s">
        <v>35</v>
      </c>
      <c r="C32" s="1">
        <v>0</v>
      </c>
    </row>
    <row r="33" spans="1:3" ht="15.75">
      <c r="A33" s="2" t="s">
        <v>101</v>
      </c>
      <c r="B33" s="2"/>
      <c r="C33" s="2">
        <v>-77079.17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E10" sqref="E10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118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1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51737.19</v>
      </c>
    </row>
    <row r="9" spans="1:3" ht="53.25" customHeight="1">
      <c r="A9" s="3" t="s">
        <v>32</v>
      </c>
      <c r="B9" s="5">
        <f>C9/12</f>
        <v>57149.483333333337</v>
      </c>
      <c r="C9" s="1">
        <v>685793.8</v>
      </c>
    </row>
    <row r="10" spans="1:3" ht="46.5" customHeight="1">
      <c r="A10" s="3" t="s">
        <v>33</v>
      </c>
      <c r="B10" s="5">
        <f t="shared" ref="B10:B28" si="0">C10/12</f>
        <v>2003.0941666666668</v>
      </c>
      <c r="C10" s="1">
        <v>24037.13</v>
      </c>
    </row>
    <row r="11" spans="1:3" ht="18" customHeight="1">
      <c r="A11" s="2" t="s">
        <v>8</v>
      </c>
      <c r="B11" s="5">
        <f t="shared" si="0"/>
        <v>59152.577500000007</v>
      </c>
      <c r="C11" s="2">
        <f>SUM(C9:C10)</f>
        <v>709830.93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14229.217499999999</v>
      </c>
      <c r="C13" s="1">
        <f>139624.19+31126.42</f>
        <v>170750.61</v>
      </c>
    </row>
    <row r="14" spans="1:3" ht="81.75" customHeight="1">
      <c r="A14" s="3" t="s">
        <v>30</v>
      </c>
      <c r="B14" s="5">
        <f t="shared" si="0"/>
        <v>7573.0525000000007</v>
      </c>
      <c r="C14" s="1">
        <f>40088.44+50788.19</f>
        <v>90876.63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2098.3333333333335</v>
      </c>
      <c r="C16" s="1">
        <v>25180</v>
      </c>
    </row>
    <row r="17" spans="1:3" ht="14.25" customHeight="1">
      <c r="A17" s="1" t="s">
        <v>18</v>
      </c>
      <c r="B17" s="5">
        <f t="shared" si="0"/>
        <v>2062.4733333333334</v>
      </c>
      <c r="C17" s="1">
        <v>24749.68</v>
      </c>
    </row>
    <row r="18" spans="1:3" ht="14.25" customHeight="1">
      <c r="A18" s="1" t="s">
        <v>19</v>
      </c>
      <c r="B18" s="5">
        <f t="shared" si="0"/>
        <v>199.35</v>
      </c>
      <c r="C18" s="1">
        <v>2392.1999999999998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930.17833333333328</v>
      </c>
      <c r="C20" s="1">
        <v>11162.14</v>
      </c>
    </row>
    <row r="21" spans="1:3" ht="14.25" customHeight="1">
      <c r="A21" s="1" t="s">
        <v>22</v>
      </c>
      <c r="B21" s="5">
        <f t="shared" si="0"/>
        <v>2614.7558333333332</v>
      </c>
      <c r="C21" s="1">
        <v>31377.07</v>
      </c>
    </row>
    <row r="22" spans="1:3" ht="14.25" customHeight="1">
      <c r="A22" s="1" t="s">
        <v>23</v>
      </c>
      <c r="B22" s="5">
        <f t="shared" si="0"/>
        <v>4531.9891666666672</v>
      </c>
      <c r="C22" s="1">
        <v>54383.87</v>
      </c>
    </row>
    <row r="23" spans="1:3" ht="14.25" customHeight="1">
      <c r="A23" s="1" t="s">
        <v>24</v>
      </c>
      <c r="B23" s="5">
        <f t="shared" si="0"/>
        <v>67.409166666666664</v>
      </c>
      <c r="C23" s="1">
        <v>808.91</v>
      </c>
    </row>
    <row r="24" spans="1:3" ht="14.25" customHeight="1">
      <c r="A24" s="1" t="s">
        <v>25</v>
      </c>
      <c r="B24" s="5">
        <f t="shared" si="0"/>
        <v>3116.3933333333334</v>
      </c>
      <c r="C24" s="1">
        <v>37396.720000000001</v>
      </c>
    </row>
    <row r="25" spans="1:3" ht="14.25" customHeight="1">
      <c r="A25" s="1" t="s">
        <v>26</v>
      </c>
      <c r="B25" s="5">
        <f t="shared" si="0"/>
        <v>304.06524999999999</v>
      </c>
      <c r="C25" s="1">
        <v>3648.7829999999999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11553.035000000002</v>
      </c>
      <c r="C27" s="1">
        <v>138636.42000000001</v>
      </c>
    </row>
    <row r="28" spans="1:3" ht="14.25" customHeight="1">
      <c r="A28" s="2" t="s">
        <v>10</v>
      </c>
      <c r="B28" s="5">
        <f t="shared" si="0"/>
        <v>49280.252749999992</v>
      </c>
      <c r="C28" s="6">
        <f>SUM(C13:C27)</f>
        <v>591363.03299999994</v>
      </c>
    </row>
    <row r="29" spans="1:3" ht="33.75" customHeight="1">
      <c r="A29" s="2" t="s">
        <v>11</v>
      </c>
      <c r="C29" s="2">
        <v>170205.09</v>
      </c>
    </row>
    <row r="30" spans="1:3" ht="26.25" customHeight="1">
      <c r="A30" s="2" t="s">
        <v>12</v>
      </c>
      <c r="C30" s="2"/>
    </row>
    <row r="31" spans="1:3" ht="67.5" customHeight="1">
      <c r="A31" s="3" t="s">
        <v>34</v>
      </c>
      <c r="C31" s="1">
        <v>7152.73</v>
      </c>
    </row>
    <row r="32" spans="1:3" ht="63.75" customHeight="1">
      <c r="A32" s="3" t="s">
        <v>57</v>
      </c>
      <c r="C32" s="1">
        <v>45900.3</v>
      </c>
    </row>
    <row r="33" spans="1:3" ht="15.75">
      <c r="A33" s="2" t="s">
        <v>101</v>
      </c>
      <c r="B33" s="2"/>
      <c r="C33" s="2">
        <v>117152.06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F27" sqref="F27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119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1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-27673.1</v>
      </c>
    </row>
    <row r="9" spans="1:3" ht="53.25" customHeight="1">
      <c r="A9" s="3" t="s">
        <v>32</v>
      </c>
      <c r="B9" s="5">
        <f>C9/12</f>
        <v>110275.41666666667</v>
      </c>
      <c r="C9" s="1">
        <v>1323305</v>
      </c>
    </row>
    <row r="10" spans="1:3" ht="46.5" customHeight="1">
      <c r="A10" s="3" t="s">
        <v>33</v>
      </c>
      <c r="B10" s="5">
        <f t="shared" ref="B10:B28" si="0">C10/12</f>
        <v>3815.0191666666669</v>
      </c>
      <c r="C10" s="1">
        <v>45780.23</v>
      </c>
    </row>
    <row r="11" spans="1:3" ht="18" customHeight="1">
      <c r="A11" s="2" t="s">
        <v>8</v>
      </c>
      <c r="B11" s="5">
        <f t="shared" si="0"/>
        <v>114090.43583333334</v>
      </c>
      <c r="C11" s="2">
        <f>SUM(C9:C10)</f>
        <v>1369085.23</v>
      </c>
    </row>
    <row r="12" spans="1:3" ht="17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22419.071666666667</v>
      </c>
      <c r="C13" s="1">
        <f>219987.14+49041.72</f>
        <v>269028.86</v>
      </c>
    </row>
    <row r="14" spans="1:3" ht="81.75" customHeight="1">
      <c r="A14" s="3" t="s">
        <v>30</v>
      </c>
      <c r="B14" s="5">
        <f t="shared" si="0"/>
        <v>15846.01</v>
      </c>
      <c r="C14" s="1">
        <f>75861.93+114290.19</f>
        <v>190152.12</v>
      </c>
    </row>
    <row r="15" spans="1:3" ht="66" customHeight="1">
      <c r="A15" s="3" t="s">
        <v>31</v>
      </c>
      <c r="B15" s="5">
        <f t="shared" si="0"/>
        <v>8835.1200000000008</v>
      </c>
      <c r="C15" s="1">
        <v>106021.44</v>
      </c>
    </row>
    <row r="16" spans="1:3" ht="16.5" customHeight="1">
      <c r="A16" s="1" t="s">
        <v>17</v>
      </c>
      <c r="B16" s="5">
        <f t="shared" si="0"/>
        <v>7928.75</v>
      </c>
      <c r="C16" s="1">
        <v>95145</v>
      </c>
    </row>
    <row r="17" spans="1:3" ht="14.25" customHeight="1">
      <c r="A17" s="1" t="s">
        <v>18</v>
      </c>
      <c r="B17" s="5">
        <f t="shared" si="0"/>
        <v>3189.6416666666664</v>
      </c>
      <c r="C17" s="1">
        <v>38275.699999999997</v>
      </c>
    </row>
    <row r="18" spans="1:3" ht="14.25" customHeight="1">
      <c r="A18" s="1" t="s">
        <v>19</v>
      </c>
      <c r="B18" s="5">
        <f t="shared" si="0"/>
        <v>615.56666666666672</v>
      </c>
      <c r="C18" s="1">
        <v>7386.8</v>
      </c>
    </row>
    <row r="19" spans="1:3" ht="14.25" customHeight="1">
      <c r="A19" s="1" t="s">
        <v>20</v>
      </c>
      <c r="B19" s="5">
        <f t="shared" si="0"/>
        <v>15839.799166666666</v>
      </c>
      <c r="C19" s="1">
        <v>190077.59</v>
      </c>
    </row>
    <row r="20" spans="1:3" ht="14.25" customHeight="1">
      <c r="A20" s="1" t="s">
        <v>21</v>
      </c>
      <c r="B20" s="5">
        <f t="shared" si="0"/>
        <v>1160.4208333333333</v>
      </c>
      <c r="C20" s="1">
        <v>13925.05</v>
      </c>
    </row>
    <row r="21" spans="1:3" ht="14.25" customHeight="1">
      <c r="A21" s="1" t="s">
        <v>22</v>
      </c>
      <c r="B21" s="5">
        <f t="shared" si="0"/>
        <v>5065.4533333333338</v>
      </c>
      <c r="C21" s="1">
        <v>60785.440000000002</v>
      </c>
    </row>
    <row r="22" spans="1:3" ht="14.25" customHeight="1">
      <c r="A22" s="1" t="s">
        <v>23</v>
      </c>
      <c r="B22" s="5">
        <f t="shared" si="0"/>
        <v>7140.4483333333337</v>
      </c>
      <c r="C22" s="1">
        <v>85685.38</v>
      </c>
    </row>
    <row r="23" spans="1:3" ht="14.25" customHeight="1">
      <c r="A23" s="1" t="s">
        <v>24</v>
      </c>
      <c r="B23" s="5">
        <f t="shared" si="0"/>
        <v>635.36166666666668</v>
      </c>
      <c r="C23" s="1">
        <v>7624.34</v>
      </c>
    </row>
    <row r="24" spans="1:3" ht="14.25" customHeight="1">
      <c r="A24" s="1" t="s">
        <v>25</v>
      </c>
      <c r="B24" s="5">
        <f t="shared" si="0"/>
        <v>6010.7383333333337</v>
      </c>
      <c r="C24" s="1">
        <v>72128.86</v>
      </c>
    </row>
    <row r="25" spans="1:3" ht="14.25" customHeight="1">
      <c r="A25" s="1" t="s">
        <v>26</v>
      </c>
      <c r="B25" s="5">
        <f t="shared" si="0"/>
        <v>165.08166666666668</v>
      </c>
      <c r="C25" s="1">
        <v>1980.98</v>
      </c>
    </row>
    <row r="26" spans="1:3" ht="14.25" customHeight="1">
      <c r="A26" s="1" t="s">
        <v>27</v>
      </c>
      <c r="B26" s="5">
        <f t="shared" si="0"/>
        <v>345.61583333333334</v>
      </c>
      <c r="C26" s="1">
        <v>4147.3900000000003</v>
      </c>
    </row>
    <row r="27" spans="1:3" ht="14.25" customHeight="1">
      <c r="A27" s="1" t="s">
        <v>28</v>
      </c>
      <c r="B27" s="5">
        <f t="shared" si="0"/>
        <v>17873.565833333334</v>
      </c>
      <c r="C27" s="1">
        <v>214482.79</v>
      </c>
    </row>
    <row r="28" spans="1:3" ht="14.25" customHeight="1">
      <c r="A28" s="2" t="s">
        <v>10</v>
      </c>
      <c r="B28" s="5">
        <f t="shared" si="0"/>
        <v>113070.645</v>
      </c>
      <c r="C28" s="2">
        <f>SUM(C13:C27)</f>
        <v>1356847.74</v>
      </c>
    </row>
    <row r="29" spans="1:3" ht="24" customHeight="1">
      <c r="A29" s="2" t="s">
        <v>11</v>
      </c>
    </row>
    <row r="30" spans="1:3" ht="25.5" customHeight="1">
      <c r="A30" s="2" t="s">
        <v>12</v>
      </c>
      <c r="C30" s="2">
        <v>15435.61</v>
      </c>
    </row>
    <row r="31" spans="1:3" ht="67.5" customHeight="1">
      <c r="A31" s="3" t="s">
        <v>34</v>
      </c>
      <c r="C31" s="1">
        <v>182622.97</v>
      </c>
    </row>
    <row r="32" spans="1:3" ht="63.75" customHeight="1">
      <c r="A32" s="3" t="s">
        <v>35</v>
      </c>
      <c r="C32" s="1">
        <v>20500.509999999998</v>
      </c>
    </row>
    <row r="33" spans="1:3" ht="15.75">
      <c r="A33" s="2" t="s">
        <v>101</v>
      </c>
      <c r="B33" s="2"/>
      <c r="C33" s="2">
        <v>-218559.09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topLeftCell="A31" workbookViewId="0">
      <selection activeCell="C33" sqref="C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43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1">
        <v>-3379.7</v>
      </c>
    </row>
    <row r="9" spans="1:3" ht="53.25" customHeight="1">
      <c r="A9" s="3" t="s">
        <v>32</v>
      </c>
      <c r="B9" s="5">
        <f>C9/12</f>
        <v>118761.4825</v>
      </c>
      <c r="C9" s="1">
        <v>1425137.79</v>
      </c>
    </row>
    <row r="10" spans="1:3" ht="46.5" customHeight="1">
      <c r="A10" s="3" t="s">
        <v>33</v>
      </c>
      <c r="B10" s="5">
        <f t="shared" ref="B10:B28" si="0">C10/12</f>
        <v>3707.1025000000004</v>
      </c>
      <c r="C10" s="1">
        <v>44485.23</v>
      </c>
    </row>
    <row r="11" spans="1:3" ht="18" customHeight="1">
      <c r="A11" s="2" t="s">
        <v>8</v>
      </c>
      <c r="B11" s="5">
        <f t="shared" si="0"/>
        <v>122468.58500000001</v>
      </c>
      <c r="C11" s="1">
        <f>SUM(C9:C10)</f>
        <v>1469623.02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24652.514999999999</v>
      </c>
      <c r="C13" s="1">
        <f>241902.8+53927.38</f>
        <v>295830.18</v>
      </c>
    </row>
    <row r="14" spans="1:3" ht="81.75" customHeight="1">
      <c r="A14" s="3" t="s">
        <v>30</v>
      </c>
      <c r="B14" s="5">
        <f t="shared" si="0"/>
        <v>11731.086666666668</v>
      </c>
      <c r="C14" s="1">
        <f>84689.31+56083.73</f>
        <v>140773.04</v>
      </c>
    </row>
    <row r="15" spans="1:3" ht="66" customHeight="1">
      <c r="A15" s="3" t="s">
        <v>31</v>
      </c>
      <c r="B15" s="5">
        <f t="shared" si="0"/>
        <v>10097.280000000001</v>
      </c>
      <c r="C15" s="1">
        <v>121167.36</v>
      </c>
    </row>
    <row r="16" spans="1:3" ht="16.5" customHeight="1">
      <c r="A16" s="1" t="s">
        <v>17</v>
      </c>
      <c r="B16" s="5">
        <f t="shared" si="0"/>
        <v>1433.6666666666667</v>
      </c>
      <c r="C16" s="1">
        <v>17204</v>
      </c>
    </row>
    <row r="17" spans="1:3" ht="14.25" customHeight="1">
      <c r="A17" s="1" t="s">
        <v>18</v>
      </c>
      <c r="B17" s="5">
        <f t="shared" si="0"/>
        <v>3502.8633333333332</v>
      </c>
      <c r="C17" s="1">
        <v>42034.36</v>
      </c>
    </row>
    <row r="18" spans="1:3" ht="14.25" customHeight="1">
      <c r="A18" s="1" t="s">
        <v>19</v>
      </c>
      <c r="B18" s="5">
        <f t="shared" si="0"/>
        <v>226.44000000000003</v>
      </c>
      <c r="C18" s="1">
        <v>2717.28</v>
      </c>
    </row>
    <row r="19" spans="1:3" ht="14.25" customHeight="1">
      <c r="A19" s="1" t="s">
        <v>20</v>
      </c>
      <c r="B19" s="5">
        <f t="shared" si="0"/>
        <v>17388.759166666667</v>
      </c>
      <c r="C19" s="1">
        <v>208665.11</v>
      </c>
    </row>
    <row r="20" spans="1:3" ht="14.25" customHeight="1">
      <c r="A20" s="1" t="s">
        <v>21</v>
      </c>
      <c r="B20" s="5">
        <f t="shared" si="0"/>
        <v>1326.1949999999999</v>
      </c>
      <c r="C20" s="1">
        <v>15914.34</v>
      </c>
    </row>
    <row r="21" spans="1:3" ht="14.25" customHeight="1">
      <c r="A21" s="1" t="s">
        <v>22</v>
      </c>
      <c r="B21" s="5">
        <f t="shared" si="0"/>
        <v>5428.88</v>
      </c>
      <c r="C21" s="1">
        <v>65146.559999999998</v>
      </c>
    </row>
    <row r="22" spans="1:3" ht="14.25" customHeight="1">
      <c r="A22" s="1" t="s">
        <v>23</v>
      </c>
      <c r="B22" s="5">
        <f t="shared" si="0"/>
        <v>7851.7966666666662</v>
      </c>
      <c r="C22" s="1">
        <v>94221.56</v>
      </c>
    </row>
    <row r="23" spans="1:3" ht="14.25" customHeight="1">
      <c r="A23" s="1" t="s">
        <v>24</v>
      </c>
      <c r="B23" s="5"/>
    </row>
    <row r="24" spans="1:3" ht="14.25" customHeight="1">
      <c r="A24" s="1" t="s">
        <v>25</v>
      </c>
      <c r="B24" s="5">
        <f t="shared" si="0"/>
        <v>6452.1324999999997</v>
      </c>
      <c r="C24" s="1">
        <v>77425.59</v>
      </c>
    </row>
    <row r="25" spans="1:3" ht="14.25" customHeight="1">
      <c r="A25" s="1" t="s">
        <v>26</v>
      </c>
      <c r="B25" s="5">
        <f t="shared" si="0"/>
        <v>273.2</v>
      </c>
      <c r="C25" s="1">
        <v>3278.4</v>
      </c>
    </row>
    <row r="26" spans="1:3" ht="14.25" customHeight="1">
      <c r="A26" s="1" t="s">
        <v>27</v>
      </c>
      <c r="B26" s="5">
        <f t="shared" si="0"/>
        <v>166.66666666666666</v>
      </c>
      <c r="C26" s="1">
        <v>2000</v>
      </c>
    </row>
    <row r="27" spans="1:3" ht="14.25" customHeight="1">
      <c r="A27" s="1" t="s">
        <v>28</v>
      </c>
      <c r="B27" s="5">
        <f t="shared" si="0"/>
        <v>19621.130833333333</v>
      </c>
      <c r="C27" s="1">
        <v>235453.57</v>
      </c>
    </row>
    <row r="28" spans="1:3" ht="14.25" customHeight="1">
      <c r="A28" s="2" t="s">
        <v>10</v>
      </c>
      <c r="B28" s="5">
        <f t="shared" si="0"/>
        <v>110152.6125</v>
      </c>
      <c r="C28" s="1">
        <f>SUM(C13:C27)</f>
        <v>1321831.3500000001</v>
      </c>
    </row>
    <row r="29" spans="1:3" ht="24" customHeight="1">
      <c r="A29" s="2" t="s">
        <v>11</v>
      </c>
      <c r="C29" s="1">
        <v>144411.97</v>
      </c>
    </row>
    <row r="30" spans="1:3" ht="25.5" customHeight="1">
      <c r="A30" s="2" t="s">
        <v>12</v>
      </c>
    </row>
    <row r="31" spans="1:3" ht="57.75" customHeight="1">
      <c r="A31" s="3" t="s">
        <v>44</v>
      </c>
      <c r="C31" s="1">
        <v>326835.27</v>
      </c>
    </row>
    <row r="32" spans="1:3" ht="64.5" customHeight="1">
      <c r="A32" s="3" t="s">
        <v>60</v>
      </c>
      <c r="C32" s="1">
        <v>29141.96</v>
      </c>
    </row>
    <row r="33" spans="1:3" ht="15.75">
      <c r="A33" s="2" t="s">
        <v>100</v>
      </c>
      <c r="C33" s="2">
        <v>-211565.26</v>
      </c>
    </row>
    <row r="34" spans="1:3" ht="64.5" customHeight="1">
      <c r="A34" s="1" t="s">
        <v>16</v>
      </c>
    </row>
    <row r="35" spans="1:3" ht="25.5" customHeight="1">
      <c r="A35" s="1" t="s">
        <v>13</v>
      </c>
    </row>
    <row r="36" spans="1:3" ht="30.75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120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12.7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-27673.1</v>
      </c>
    </row>
    <row r="9" spans="1:3" ht="53.25" customHeight="1">
      <c r="A9" s="3" t="s">
        <v>32</v>
      </c>
      <c r="B9" s="5">
        <f>C9/12</f>
        <v>148820.74666666667</v>
      </c>
      <c r="C9" s="1">
        <v>1785848.96</v>
      </c>
    </row>
    <row r="10" spans="1:3" ht="46.5" customHeight="1">
      <c r="A10" s="3" t="s">
        <v>33</v>
      </c>
      <c r="B10" s="5">
        <f t="shared" ref="B10:B28" si="0">C10/12</f>
        <v>5295.4358333333339</v>
      </c>
      <c r="C10" s="1">
        <v>63545.23</v>
      </c>
    </row>
    <row r="11" spans="1:3" ht="18" customHeight="1">
      <c r="A11" s="2" t="s">
        <v>8</v>
      </c>
      <c r="B11" s="5">
        <f t="shared" si="0"/>
        <v>154116.1825</v>
      </c>
      <c r="C11" s="2">
        <f>SUM(C9:C10)</f>
        <v>1849394.19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32247.936666666665</v>
      </c>
      <c r="C13" s="1">
        <f>316432.88+70542.36</f>
        <v>386975.24</v>
      </c>
    </row>
    <row r="14" spans="1:3" ht="81.75" customHeight="1">
      <c r="A14" s="3" t="s">
        <v>30</v>
      </c>
      <c r="B14" s="5">
        <f t="shared" si="0"/>
        <v>20028.404999999999</v>
      </c>
      <c r="C14" s="1">
        <f>154034.4+86306.46</f>
        <v>240340.86</v>
      </c>
    </row>
    <row r="15" spans="1:3" ht="66" customHeight="1">
      <c r="A15" s="3" t="s">
        <v>31</v>
      </c>
      <c r="B15" s="5">
        <f t="shared" si="0"/>
        <v>4908.4000000000005</v>
      </c>
      <c r="C15" s="1">
        <v>58900.800000000003</v>
      </c>
    </row>
    <row r="16" spans="1:3" ht="16.5" customHeight="1">
      <c r="A16" s="1" t="s">
        <v>17</v>
      </c>
      <c r="B16" s="5">
        <f t="shared" si="0"/>
        <v>9174.9166666666661</v>
      </c>
      <c r="C16" s="1">
        <v>110099</v>
      </c>
    </row>
    <row r="17" spans="1:3" ht="14.25" customHeight="1">
      <c r="A17" s="1" t="s">
        <v>18</v>
      </c>
      <c r="B17" s="5">
        <f t="shared" si="0"/>
        <v>4384.9266666666672</v>
      </c>
      <c r="C17" s="1">
        <v>52619.12</v>
      </c>
    </row>
    <row r="18" spans="1:3" ht="14.25" customHeight="1">
      <c r="A18" s="1" t="s">
        <v>19</v>
      </c>
      <c r="B18" s="5">
        <f t="shared" si="0"/>
        <v>367.52</v>
      </c>
      <c r="C18" s="1">
        <v>4410.24</v>
      </c>
    </row>
    <row r="19" spans="1:3" ht="14.25" customHeight="1">
      <c r="A19" s="1" t="s">
        <v>20</v>
      </c>
      <c r="B19" s="5">
        <f t="shared" si="0"/>
        <v>21757.287500000002</v>
      </c>
      <c r="C19" s="1">
        <v>261087.45</v>
      </c>
    </row>
    <row r="20" spans="1:3" ht="14.25" customHeight="1">
      <c r="A20" s="1" t="s">
        <v>21</v>
      </c>
      <c r="B20" s="5">
        <f t="shared" si="0"/>
        <v>1510.3883333333333</v>
      </c>
      <c r="C20" s="1">
        <v>18124.66</v>
      </c>
    </row>
    <row r="21" spans="1:3" ht="14.25" customHeight="1">
      <c r="A21" s="1" t="s">
        <v>22</v>
      </c>
      <c r="B21" s="5">
        <f t="shared" si="0"/>
        <v>6836.2158333333327</v>
      </c>
      <c r="C21" s="1">
        <v>82034.59</v>
      </c>
    </row>
    <row r="22" spans="1:3" ht="14.25" customHeight="1">
      <c r="A22" s="1" t="s">
        <v>23</v>
      </c>
      <c r="B22" s="5">
        <f t="shared" si="0"/>
        <v>10270.93</v>
      </c>
      <c r="C22" s="1">
        <v>123251.16</v>
      </c>
    </row>
    <row r="23" spans="1:3" ht="14.25" customHeight="1">
      <c r="A23" s="1" t="s">
        <v>24</v>
      </c>
      <c r="B23" s="5">
        <f t="shared" si="0"/>
        <v>139.91333333333333</v>
      </c>
      <c r="C23" s="1">
        <v>1678.96</v>
      </c>
    </row>
    <row r="24" spans="1:3" ht="14.25" customHeight="1">
      <c r="A24" s="1" t="s">
        <v>25</v>
      </c>
      <c r="B24" s="5">
        <f t="shared" si="0"/>
        <v>8119.4541666666664</v>
      </c>
      <c r="C24" s="1">
        <v>97433.45</v>
      </c>
    </row>
    <row r="25" spans="1:3" ht="14.25" customHeight="1">
      <c r="A25" s="1" t="s">
        <v>26</v>
      </c>
      <c r="B25" s="5">
        <f t="shared" si="0"/>
        <v>223.95000000000002</v>
      </c>
      <c r="C25" s="1">
        <v>2687.4</v>
      </c>
    </row>
    <row r="26" spans="1:3" ht="14.25" customHeight="1">
      <c r="A26" s="1" t="s">
        <v>27</v>
      </c>
      <c r="B26" s="5">
        <f t="shared" si="0"/>
        <v>983.30000000000007</v>
      </c>
      <c r="C26" s="1">
        <v>11799.6</v>
      </c>
    </row>
    <row r="27" spans="1:3" ht="14.25" customHeight="1">
      <c r="A27" s="1" t="s">
        <v>28</v>
      </c>
      <c r="B27" s="5">
        <f t="shared" si="0"/>
        <v>24557.365000000002</v>
      </c>
      <c r="C27" s="1">
        <v>294688.38</v>
      </c>
    </row>
    <row r="28" spans="1:3" ht="14.25" customHeight="1">
      <c r="A28" s="2" t="s">
        <v>10</v>
      </c>
      <c r="B28" s="5">
        <f t="shared" si="0"/>
        <v>145510.90916666665</v>
      </c>
      <c r="C28" s="2">
        <f>SUM(C13:C27)</f>
        <v>1746130.9099999997</v>
      </c>
    </row>
    <row r="29" spans="1:3" ht="27" customHeight="1">
      <c r="A29" s="2" t="s">
        <v>11</v>
      </c>
      <c r="C29" s="1">
        <v>75590.179999999993</v>
      </c>
    </row>
    <row r="30" spans="1:3" ht="33.75" customHeight="1">
      <c r="A30" s="2" t="s">
        <v>12</v>
      </c>
      <c r="C30" s="2"/>
    </row>
    <row r="31" spans="1:3" ht="67.5" customHeight="1">
      <c r="A31" s="3" t="s">
        <v>34</v>
      </c>
      <c r="C31" s="1">
        <v>295161.99</v>
      </c>
    </row>
    <row r="32" spans="1:3" ht="63.75" customHeight="1">
      <c r="A32" s="3" t="s">
        <v>35</v>
      </c>
      <c r="C32" s="1">
        <v>23181.119999999999</v>
      </c>
    </row>
    <row r="33" spans="1:3" ht="15.75">
      <c r="A33" s="2" t="s">
        <v>101</v>
      </c>
      <c r="B33" s="2"/>
      <c r="C33" s="2">
        <v>-242752.93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37"/>
  <sheetViews>
    <sheetView topLeftCell="A21" workbookViewId="0">
      <selection activeCell="B12" sqref="B12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121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-151726.49</v>
      </c>
    </row>
    <row r="9" spans="1:3" ht="53.25" customHeight="1">
      <c r="A9" s="3" t="s">
        <v>32</v>
      </c>
      <c r="B9" s="5">
        <f>C9/12</f>
        <v>45535.352500000001</v>
      </c>
      <c r="C9" s="1">
        <v>546424.23</v>
      </c>
    </row>
    <row r="10" spans="1:3" ht="46.5" customHeight="1">
      <c r="A10" s="3" t="s">
        <v>33</v>
      </c>
      <c r="B10" s="5">
        <f t="shared" ref="B10:B28" si="0">C10/12</f>
        <v>9033.0941666666677</v>
      </c>
      <c r="C10" s="1">
        <f>89123.67+19273.46</f>
        <v>108397.13</v>
      </c>
    </row>
    <row r="11" spans="1:3" ht="18" customHeight="1">
      <c r="A11" s="2" t="s">
        <v>8</v>
      </c>
      <c r="B11" s="5">
        <f t="shared" si="0"/>
        <v>54568.446666666663</v>
      </c>
      <c r="C11" s="2">
        <f>SUM(C9:C10)</f>
        <v>654821.36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14201.569166666668</v>
      </c>
      <c r="C13" s="1">
        <f>139352.89+31065.94</f>
        <v>170418.83000000002</v>
      </c>
    </row>
    <row r="14" spans="1:3" ht="81.75" customHeight="1">
      <c r="A14" s="3" t="s">
        <v>30</v>
      </c>
      <c r="B14" s="5">
        <f t="shared" si="0"/>
        <v>14179.909166666666</v>
      </c>
      <c r="C14" s="1">
        <f>42290.33+127868.58</f>
        <v>170158.91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1045.75</v>
      </c>
      <c r="C16" s="1">
        <v>12549</v>
      </c>
    </row>
    <row r="17" spans="1:3" ht="14.25" customHeight="1">
      <c r="A17" s="1" t="s">
        <v>18</v>
      </c>
      <c r="B17" s="5">
        <f t="shared" si="0"/>
        <v>2048.41</v>
      </c>
      <c r="C17" s="1">
        <v>24580.92</v>
      </c>
    </row>
    <row r="18" spans="1:3" ht="14.25" customHeight="1">
      <c r="A18" s="1" t="s">
        <v>19</v>
      </c>
      <c r="B18" s="5">
        <f t="shared" si="0"/>
        <v>199.84</v>
      </c>
      <c r="C18" s="1">
        <v>2398.08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736.77499999999998</v>
      </c>
      <c r="C20" s="1">
        <v>8841.2999999999993</v>
      </c>
    </row>
    <row r="21" spans="1:3" ht="14.25" customHeight="1">
      <c r="A21" s="1" t="s">
        <v>22</v>
      </c>
      <c r="B21" s="5">
        <f t="shared" si="0"/>
        <v>2413.1216666666664</v>
      </c>
      <c r="C21" s="1">
        <v>28957.46</v>
      </c>
    </row>
    <row r="22" spans="1:3" ht="14.25" customHeight="1">
      <c r="A22" s="1" t="s">
        <v>23</v>
      </c>
      <c r="B22" s="5">
        <f t="shared" si="0"/>
        <v>4523.1833333333334</v>
      </c>
      <c r="C22" s="1">
        <v>54278.2</v>
      </c>
    </row>
    <row r="23" spans="1:3" ht="14.25" customHeight="1">
      <c r="A23" s="1" t="s">
        <v>24</v>
      </c>
      <c r="B23" s="5">
        <f t="shared" si="0"/>
        <v>197.77166666666668</v>
      </c>
      <c r="C23" s="1">
        <v>2373.2600000000002</v>
      </c>
    </row>
    <row r="24" spans="1:3" ht="14.25" customHeight="1">
      <c r="A24" s="1" t="s">
        <v>25</v>
      </c>
      <c r="B24" s="5">
        <f t="shared" si="0"/>
        <v>2874.8833333333332</v>
      </c>
      <c r="C24" s="1">
        <v>34498.6</v>
      </c>
    </row>
    <row r="25" spans="1:3" ht="14.25" customHeight="1">
      <c r="A25" s="1" t="s">
        <v>26</v>
      </c>
      <c r="B25" s="5">
        <f t="shared" si="0"/>
        <v>204.83166666666668</v>
      </c>
      <c r="C25" s="1">
        <v>2457.98</v>
      </c>
    </row>
    <row r="26" spans="1:3" ht="14.25" customHeight="1">
      <c r="A26" s="1" t="s">
        <v>27</v>
      </c>
      <c r="B26" s="5">
        <f t="shared" si="0"/>
        <v>331.66666666666669</v>
      </c>
      <c r="C26" s="1">
        <v>3980</v>
      </c>
    </row>
    <row r="27" spans="1:3" ht="14.25" customHeight="1">
      <c r="A27" s="1" t="s">
        <v>28</v>
      </c>
      <c r="B27" s="5">
        <f t="shared" si="0"/>
        <v>11472.79</v>
      </c>
      <c r="C27" s="1">
        <v>137673.48000000001</v>
      </c>
    </row>
    <row r="28" spans="1:3" ht="14.25" customHeight="1">
      <c r="A28" s="2" t="s">
        <v>10</v>
      </c>
      <c r="B28" s="5">
        <f t="shared" si="0"/>
        <v>54430.501666666671</v>
      </c>
      <c r="C28" s="2">
        <f>SUM(C13:C27)</f>
        <v>653166.02</v>
      </c>
    </row>
    <row r="29" spans="1:3" ht="28.5" customHeight="1">
      <c r="A29" s="2" t="s">
        <v>11</v>
      </c>
    </row>
    <row r="30" spans="1:3" ht="24" customHeight="1">
      <c r="A30" s="2" t="s">
        <v>12</v>
      </c>
      <c r="C30" s="2">
        <v>150071.15</v>
      </c>
    </row>
    <row r="31" spans="1:3" ht="67.5" customHeight="1">
      <c r="A31" s="3" t="s">
        <v>34</v>
      </c>
      <c r="C31" s="1">
        <v>21500.18</v>
      </c>
    </row>
    <row r="32" spans="1:3" ht="63.75" customHeight="1">
      <c r="A32" s="3" t="s">
        <v>35</v>
      </c>
      <c r="C32" s="1">
        <v>31258.28</v>
      </c>
    </row>
    <row r="33" spans="1:3" ht="15.75">
      <c r="A33" s="2" t="s">
        <v>101</v>
      </c>
      <c r="B33" s="2"/>
      <c r="C33" s="2">
        <v>-202829.61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37"/>
  <sheetViews>
    <sheetView topLeftCell="A33" workbookViewId="0">
      <selection activeCell="G24" sqref="G2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122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-113808.74</v>
      </c>
    </row>
    <row r="9" spans="1:3" ht="53.25" customHeight="1">
      <c r="A9" s="3" t="s">
        <v>32</v>
      </c>
      <c r="B9" s="5">
        <f>C9/12</f>
        <v>58270.630833333329</v>
      </c>
      <c r="C9" s="1">
        <v>699247.57</v>
      </c>
    </row>
    <row r="10" spans="1:3" ht="46.5" customHeight="1">
      <c r="A10" s="3" t="s">
        <v>33</v>
      </c>
      <c r="B10" s="5">
        <f t="shared" ref="B10:B28" si="0">C10/12</f>
        <v>14997.904166666667</v>
      </c>
      <c r="C10" s="1">
        <f>118506.62+61468.23</f>
        <v>179974.85</v>
      </c>
    </row>
    <row r="11" spans="1:3" ht="18" customHeight="1">
      <c r="A11" s="2" t="s">
        <v>8</v>
      </c>
      <c r="B11" s="5">
        <f t="shared" si="0"/>
        <v>73268.534999999989</v>
      </c>
      <c r="C11" s="2">
        <f>SUM(C9:C10)</f>
        <v>879222.41999999993</v>
      </c>
    </row>
    <row r="12" spans="1:3" ht="17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16035.839999999998</v>
      </c>
      <c r="C13" s="1">
        <f>157351.68+35078.4</f>
        <v>192430.07999999999</v>
      </c>
    </row>
    <row r="14" spans="1:3" ht="81.75" customHeight="1">
      <c r="A14" s="3" t="s">
        <v>30</v>
      </c>
      <c r="B14" s="5">
        <f t="shared" si="0"/>
        <v>15663.150833333333</v>
      </c>
      <c r="C14" s="1">
        <f>104861.88+83095.93</f>
        <v>187957.81</v>
      </c>
    </row>
    <row r="15" spans="1:3" ht="66" customHeight="1">
      <c r="A15" s="3" t="s">
        <v>31</v>
      </c>
      <c r="B15" s="5">
        <f t="shared" si="0"/>
        <v>5469.3600000000006</v>
      </c>
      <c r="C15" s="1">
        <v>65632.320000000007</v>
      </c>
    </row>
    <row r="16" spans="1:3" ht="16.5" customHeight="1">
      <c r="A16" s="1" t="s">
        <v>17</v>
      </c>
      <c r="B16" s="5">
        <f t="shared" si="0"/>
        <v>3005.5</v>
      </c>
      <c r="C16" s="1">
        <v>36066</v>
      </c>
    </row>
    <row r="17" spans="1:3" ht="14.25" customHeight="1">
      <c r="A17" s="1" t="s">
        <v>18</v>
      </c>
      <c r="B17" s="5">
        <f t="shared" si="0"/>
        <v>2050.23</v>
      </c>
      <c r="C17" s="1">
        <v>24602.76</v>
      </c>
    </row>
    <row r="18" spans="1:3" ht="14.25" customHeight="1">
      <c r="A18" s="1" t="s">
        <v>19</v>
      </c>
      <c r="B18" s="5">
        <f t="shared" si="0"/>
        <v>87.04</v>
      </c>
      <c r="C18" s="1">
        <v>1044.48</v>
      </c>
    </row>
    <row r="19" spans="1:3" ht="14.25" customHeight="1">
      <c r="A19" s="1" t="s">
        <v>20</v>
      </c>
      <c r="B19" s="5">
        <f t="shared" si="0"/>
        <v>10172.906666666668</v>
      </c>
      <c r="C19" s="1">
        <v>122074.88</v>
      </c>
    </row>
    <row r="20" spans="1:3" ht="14.25" customHeight="1">
      <c r="A20" s="1" t="s">
        <v>21</v>
      </c>
      <c r="B20" s="5">
        <f t="shared" si="0"/>
        <v>718.35583333333341</v>
      </c>
      <c r="C20" s="1">
        <v>8620.27</v>
      </c>
    </row>
    <row r="21" spans="1:3" ht="14.25" customHeight="1">
      <c r="A21" s="1" t="s">
        <v>22</v>
      </c>
      <c r="B21" s="5">
        <f t="shared" si="0"/>
        <v>3211.1175000000003</v>
      </c>
      <c r="C21" s="1">
        <v>38533.410000000003</v>
      </c>
    </row>
    <row r="22" spans="1:3" ht="14.25" customHeight="1">
      <c r="A22" s="1" t="s">
        <v>23</v>
      </c>
      <c r="B22" s="5">
        <f t="shared" si="0"/>
        <v>5107.3966666666665</v>
      </c>
      <c r="C22" s="1">
        <v>61288.76</v>
      </c>
    </row>
    <row r="23" spans="1:3" ht="14.25" customHeight="1">
      <c r="A23" s="1" t="s">
        <v>24</v>
      </c>
      <c r="B23" s="5">
        <f t="shared" si="0"/>
        <v>50.556666666666665</v>
      </c>
      <c r="C23" s="1">
        <v>606.67999999999995</v>
      </c>
    </row>
    <row r="24" spans="1:3" ht="14.25" customHeight="1">
      <c r="A24" s="1" t="s">
        <v>25</v>
      </c>
      <c r="B24" s="5">
        <f t="shared" si="0"/>
        <v>3860.0783333333334</v>
      </c>
      <c r="C24" s="1">
        <v>46320.94</v>
      </c>
    </row>
    <row r="25" spans="1:3" ht="14.25" customHeight="1">
      <c r="A25" s="1" t="s">
        <v>26</v>
      </c>
      <c r="B25" s="5">
        <f t="shared" si="0"/>
        <v>97.724166666666676</v>
      </c>
      <c r="C25" s="1">
        <v>1172.69</v>
      </c>
    </row>
    <row r="26" spans="1:3" ht="14.25" customHeight="1">
      <c r="A26" s="1" t="s">
        <v>27</v>
      </c>
      <c r="B26" s="5">
        <f t="shared" si="0"/>
        <v>0</v>
      </c>
    </row>
    <row r="27" spans="1:3" ht="14.25" customHeight="1">
      <c r="A27" s="1" t="s">
        <v>28</v>
      </c>
      <c r="B27" s="5">
        <f t="shared" si="0"/>
        <v>11478.904166666667</v>
      </c>
      <c r="C27" s="1">
        <v>137746.85</v>
      </c>
    </row>
    <row r="28" spans="1:3" ht="14.25" customHeight="1">
      <c r="A28" s="2" t="s">
        <v>10</v>
      </c>
      <c r="B28" s="5">
        <f t="shared" si="0"/>
        <v>77008.160833333342</v>
      </c>
      <c r="C28" s="2">
        <f>SUM(C13:C27)</f>
        <v>924097.93</v>
      </c>
    </row>
    <row r="29" spans="1:3" ht="22.5" customHeight="1">
      <c r="A29" s="2" t="s">
        <v>11</v>
      </c>
    </row>
    <row r="30" spans="1:3" ht="27" customHeight="1">
      <c r="A30" s="2" t="s">
        <v>12</v>
      </c>
      <c r="C30" s="2">
        <v>158684.25</v>
      </c>
    </row>
    <row r="31" spans="1:3" ht="67.5" customHeight="1">
      <c r="A31" s="3" t="s">
        <v>34</v>
      </c>
      <c r="C31" s="1">
        <v>62297.49</v>
      </c>
    </row>
    <row r="32" spans="1:3" ht="63.75" customHeight="1">
      <c r="A32" s="3" t="s">
        <v>35</v>
      </c>
      <c r="C32" s="1">
        <v>35412.68</v>
      </c>
    </row>
    <row r="33" spans="1:3" ht="15.75">
      <c r="A33" s="2" t="s">
        <v>101</v>
      </c>
      <c r="B33" s="2"/>
      <c r="C33" s="2">
        <v>-256394.42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37"/>
  <sheetViews>
    <sheetView topLeftCell="A31" workbookViewId="0">
      <selection activeCell="F32" sqref="F32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123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-162841.10999999999</v>
      </c>
    </row>
    <row r="9" spans="1:3" ht="53.25" customHeight="1">
      <c r="A9" s="3" t="s">
        <v>32</v>
      </c>
      <c r="B9" s="5">
        <f>C9/12</f>
        <v>60655.434999999998</v>
      </c>
      <c r="C9" s="1">
        <v>727865.22</v>
      </c>
    </row>
    <row r="10" spans="1:3" ht="46.5" customHeight="1">
      <c r="A10" s="3" t="s">
        <v>33</v>
      </c>
      <c r="B10" s="5">
        <f t="shared" ref="B10:B28" si="0">C10/12</f>
        <v>962.35249999999996</v>
      </c>
      <c r="C10" s="1">
        <v>11548.23</v>
      </c>
    </row>
    <row r="11" spans="1:3" ht="18" customHeight="1">
      <c r="A11" s="2" t="s">
        <v>8</v>
      </c>
      <c r="B11" s="5">
        <f t="shared" si="0"/>
        <v>61617.787499999999</v>
      </c>
      <c r="C11" s="2">
        <f>SUM(C9:C10)</f>
        <v>739413.45</v>
      </c>
    </row>
    <row r="12" spans="1:3" ht="17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13450.751666666665</v>
      </c>
      <c r="C13" s="1">
        <f>131985.5+29423.52</f>
        <v>161409.01999999999</v>
      </c>
    </row>
    <row r="14" spans="1:3" ht="81.75" customHeight="1">
      <c r="A14" s="3" t="s">
        <v>30</v>
      </c>
      <c r="B14" s="5">
        <f t="shared" si="0"/>
        <v>15278.970000000001</v>
      </c>
      <c r="C14" s="1">
        <f>84610.31+98737.33</f>
        <v>183347.64</v>
      </c>
    </row>
    <row r="15" spans="1:3" ht="66" customHeight="1">
      <c r="A15" s="3" t="s">
        <v>31</v>
      </c>
      <c r="B15" s="5">
        <f t="shared" si="0"/>
        <v>5819.96</v>
      </c>
      <c r="C15" s="1">
        <v>69839.520000000004</v>
      </c>
    </row>
    <row r="16" spans="1:3" ht="16.5" customHeight="1">
      <c r="A16" s="1" t="s">
        <v>17</v>
      </c>
      <c r="B16" s="5">
        <f t="shared" si="0"/>
        <v>649.58333333333337</v>
      </c>
      <c r="C16" s="1">
        <v>7795</v>
      </c>
    </row>
    <row r="17" spans="1:3" ht="14.25" customHeight="1">
      <c r="A17" s="1" t="s">
        <v>18</v>
      </c>
      <c r="B17" s="5">
        <f t="shared" si="0"/>
        <v>1733.5083333333332</v>
      </c>
      <c r="C17" s="1">
        <v>20802.099999999999</v>
      </c>
    </row>
    <row r="18" spans="1:3" ht="14.25" customHeight="1">
      <c r="A18" s="1" t="s">
        <v>19</v>
      </c>
      <c r="B18" s="5">
        <f t="shared" si="0"/>
        <v>77.320000000000007</v>
      </c>
      <c r="C18" s="1">
        <v>927.84</v>
      </c>
    </row>
    <row r="19" spans="1:3" ht="14.25" customHeight="1">
      <c r="A19" s="1" t="s">
        <v>20</v>
      </c>
      <c r="B19" s="5">
        <f t="shared" si="0"/>
        <v>8609.4858333333341</v>
      </c>
      <c r="C19" s="1">
        <v>103313.83</v>
      </c>
    </row>
    <row r="20" spans="1:3" ht="14.25" customHeight="1">
      <c r="A20" s="1" t="s">
        <v>21</v>
      </c>
      <c r="B20" s="5">
        <f t="shared" si="0"/>
        <v>764.4041666666667</v>
      </c>
      <c r="C20" s="1">
        <v>9172.85</v>
      </c>
    </row>
    <row r="21" spans="1:3" ht="14.25" customHeight="1">
      <c r="A21" s="1" t="s">
        <v>22</v>
      </c>
      <c r="B21" s="5">
        <f t="shared" si="0"/>
        <v>2753.5958333333333</v>
      </c>
      <c r="C21" s="1">
        <v>33043.15</v>
      </c>
    </row>
    <row r="22" spans="1:3" ht="14.25" customHeight="1">
      <c r="A22" s="1" t="s">
        <v>23</v>
      </c>
      <c r="B22" s="5">
        <f t="shared" si="0"/>
        <v>4284.0491666666667</v>
      </c>
      <c r="C22" s="1">
        <v>51408.59</v>
      </c>
    </row>
    <row r="23" spans="1:3" ht="14.25" customHeight="1">
      <c r="A23" s="1" t="s">
        <v>24</v>
      </c>
      <c r="B23" s="5">
        <f t="shared" si="0"/>
        <v>54.548333333333339</v>
      </c>
      <c r="C23" s="1">
        <v>654.58000000000004</v>
      </c>
    </row>
    <row r="24" spans="1:3" ht="14.25" customHeight="1">
      <c r="A24" s="1" t="s">
        <v>25</v>
      </c>
      <c r="B24" s="5">
        <f t="shared" si="0"/>
        <v>3246.27</v>
      </c>
      <c r="C24" s="1">
        <v>38955.24</v>
      </c>
    </row>
    <row r="25" spans="1:3" ht="14.25" customHeight="1">
      <c r="A25" s="1" t="s">
        <v>26</v>
      </c>
      <c r="B25" s="5">
        <f t="shared" si="0"/>
        <v>98.352500000000006</v>
      </c>
      <c r="C25" s="1">
        <v>1180.23</v>
      </c>
    </row>
    <row r="26" spans="1:3" ht="14.25" customHeight="1">
      <c r="A26" s="1" t="s">
        <v>27</v>
      </c>
      <c r="B26" s="5">
        <f t="shared" si="0"/>
        <v>0</v>
      </c>
    </row>
    <row r="27" spans="1:3" ht="14.25" customHeight="1">
      <c r="A27" s="1" t="s">
        <v>28</v>
      </c>
      <c r="B27" s="5">
        <f t="shared" si="0"/>
        <v>9705.6091666666671</v>
      </c>
      <c r="C27" s="1">
        <v>116467.31</v>
      </c>
    </row>
    <row r="28" spans="1:3" ht="14.25" customHeight="1">
      <c r="A28" s="2" t="s">
        <v>10</v>
      </c>
      <c r="B28" s="5">
        <f t="shared" si="0"/>
        <v>66526.408333333326</v>
      </c>
      <c r="C28" s="2">
        <f>SUM(C13:C27)</f>
        <v>798316.89999999991</v>
      </c>
    </row>
    <row r="29" spans="1:3" ht="23.25" customHeight="1">
      <c r="A29" s="2" t="s">
        <v>11</v>
      </c>
    </row>
    <row r="30" spans="1:3" ht="26.25" customHeight="1">
      <c r="A30" s="2" t="s">
        <v>12</v>
      </c>
      <c r="C30" s="2">
        <v>221744.56</v>
      </c>
    </row>
    <row r="31" spans="1:3" ht="67.5" customHeight="1">
      <c r="A31" s="3" t="s">
        <v>34</v>
      </c>
      <c r="C31" s="1">
        <v>173537.43</v>
      </c>
    </row>
    <row r="32" spans="1:3" ht="63.75" customHeight="1">
      <c r="A32" s="3" t="s">
        <v>35</v>
      </c>
      <c r="C32" s="1">
        <v>36184.53</v>
      </c>
    </row>
    <row r="33" spans="1:3" ht="15.75">
      <c r="A33" s="2" t="s">
        <v>101</v>
      </c>
      <c r="B33" s="2"/>
      <c r="C33" s="2">
        <v>-431466.52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37"/>
  <sheetViews>
    <sheetView topLeftCell="A31" workbookViewId="0">
      <selection activeCell="F10" sqref="F10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125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-290206.07</v>
      </c>
    </row>
    <row r="9" spans="1:3" ht="53.25" customHeight="1">
      <c r="A9" s="3" t="s">
        <v>32</v>
      </c>
      <c r="B9" s="5">
        <f>C9/12</f>
        <v>114275.09166666667</v>
      </c>
      <c r="C9" s="1">
        <v>1371301.1</v>
      </c>
    </row>
    <row r="10" spans="1:3" ht="46.5" customHeight="1">
      <c r="A10" s="3" t="s">
        <v>33</v>
      </c>
      <c r="B10" s="5">
        <f t="shared" ref="B10:B11" si="0">C10/12</f>
        <v>13925.566666666666</v>
      </c>
      <c r="C10" s="1">
        <f>126205.11+40901.69</f>
        <v>167106.79999999999</v>
      </c>
    </row>
    <row r="11" spans="1:3" ht="18" customHeight="1">
      <c r="A11" s="2" t="s">
        <v>8</v>
      </c>
      <c r="B11" s="5">
        <f t="shared" si="0"/>
        <v>128200.65833333334</v>
      </c>
      <c r="C11" s="2">
        <f>SUM(C9:C10)</f>
        <v>1538407.9000000001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>C13/12</f>
        <v>33766.848333333335</v>
      </c>
      <c r="C13" s="1">
        <f>331337.2+73864.98</f>
        <v>405202.18</v>
      </c>
    </row>
    <row r="14" spans="1:3" ht="81.75" customHeight="1">
      <c r="A14" s="3" t="s">
        <v>30</v>
      </c>
      <c r="B14" s="5">
        <f t="shared" ref="B14:B28" si="1">C14/12</f>
        <v>30507.858333333337</v>
      </c>
      <c r="C14" s="1">
        <f>81124.77+284969.53</f>
        <v>366094.30000000005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1"/>
        <v>11231.166666666666</v>
      </c>
      <c r="C16" s="1">
        <v>134774</v>
      </c>
    </row>
    <row r="17" spans="1:3" ht="14.25" customHeight="1">
      <c r="A17" s="1" t="s">
        <v>18</v>
      </c>
      <c r="B17" s="5">
        <f t="shared" si="1"/>
        <v>4834.97</v>
      </c>
      <c r="C17" s="1">
        <v>58019.64</v>
      </c>
    </row>
    <row r="18" spans="1:3" ht="14.25" customHeight="1">
      <c r="A18" s="1" t="s">
        <v>19</v>
      </c>
      <c r="B18" s="5">
        <f t="shared" si="1"/>
        <v>404.16</v>
      </c>
      <c r="C18" s="1">
        <v>4849.92</v>
      </c>
    </row>
    <row r="19" spans="1:3" ht="14.25" customHeight="1">
      <c r="A19" s="1" t="s">
        <v>20</v>
      </c>
      <c r="B19" s="5">
        <f t="shared" si="1"/>
        <v>0</v>
      </c>
    </row>
    <row r="20" spans="1:3" ht="14.25" customHeight="1">
      <c r="A20" s="1" t="s">
        <v>21</v>
      </c>
      <c r="B20" s="5">
        <f t="shared" si="1"/>
        <v>1878.7758333333334</v>
      </c>
      <c r="C20" s="1">
        <v>22545.31</v>
      </c>
    </row>
    <row r="21" spans="1:3" ht="14.25" customHeight="1">
      <c r="A21" s="1" t="s">
        <v>22</v>
      </c>
      <c r="B21" s="5">
        <f t="shared" si="1"/>
        <v>5711.1916666666666</v>
      </c>
      <c r="C21" s="1">
        <v>68534.3</v>
      </c>
    </row>
    <row r="22" spans="1:3" ht="14.25" customHeight="1">
      <c r="A22" s="1" t="s">
        <v>23</v>
      </c>
      <c r="B22" s="5">
        <f t="shared" si="1"/>
        <v>10754.701666666666</v>
      </c>
      <c r="C22" s="1">
        <v>129056.42</v>
      </c>
    </row>
    <row r="23" spans="1:3" ht="14.25" customHeight="1">
      <c r="A23" s="1" t="s">
        <v>24</v>
      </c>
      <c r="B23" s="5">
        <f t="shared" si="1"/>
        <v>165.19166666666666</v>
      </c>
      <c r="C23" s="1">
        <v>1982.3</v>
      </c>
    </row>
    <row r="24" spans="1:3" ht="14.25" customHeight="1">
      <c r="A24" s="1" t="s">
        <v>25</v>
      </c>
      <c r="B24" s="5">
        <f t="shared" si="1"/>
        <v>6754.1208333333334</v>
      </c>
      <c r="C24" s="1">
        <v>81049.45</v>
      </c>
    </row>
    <row r="25" spans="1:3" ht="14.25" customHeight="1">
      <c r="A25" s="1" t="s">
        <v>26</v>
      </c>
      <c r="B25" s="5">
        <f t="shared" si="1"/>
        <v>608.83916666666664</v>
      </c>
      <c r="C25" s="1">
        <v>7306.07</v>
      </c>
    </row>
    <row r="26" spans="1:3" ht="14.25" customHeight="1">
      <c r="A26" s="1" t="s">
        <v>27</v>
      </c>
      <c r="B26" s="5">
        <f t="shared" si="1"/>
        <v>166.66666666666666</v>
      </c>
      <c r="C26" s="1">
        <v>2000</v>
      </c>
    </row>
    <row r="27" spans="1:3" ht="14.25" customHeight="1">
      <c r="A27" s="1" t="s">
        <v>28</v>
      </c>
      <c r="B27" s="5">
        <f t="shared" si="1"/>
        <v>27199.346666666665</v>
      </c>
      <c r="C27" s="1">
        <v>326392.15999999997</v>
      </c>
    </row>
    <row r="28" spans="1:3" ht="14.25" customHeight="1">
      <c r="A28" s="2" t="s">
        <v>10</v>
      </c>
      <c r="B28" s="5">
        <f t="shared" si="1"/>
        <v>133983.83749999999</v>
      </c>
      <c r="C28" s="2">
        <f>SUM(C13:C27)</f>
        <v>1607806.05</v>
      </c>
    </row>
    <row r="29" spans="1:3" ht="19.5" customHeight="1">
      <c r="A29" s="2" t="s">
        <v>11</v>
      </c>
    </row>
    <row r="30" spans="1:3" ht="33" customHeight="1">
      <c r="A30" s="2" t="s">
        <v>12</v>
      </c>
      <c r="C30" s="2">
        <v>359604.22</v>
      </c>
    </row>
    <row r="31" spans="1:3" ht="67.5" customHeight="1">
      <c r="A31" s="3" t="s">
        <v>34</v>
      </c>
      <c r="C31" s="1">
        <v>1072057.1499999999</v>
      </c>
    </row>
    <row r="32" spans="1:3" ht="63.75" customHeight="1">
      <c r="A32" s="3" t="s">
        <v>99</v>
      </c>
      <c r="C32" s="1">
        <v>47921.46</v>
      </c>
    </row>
    <row r="33" spans="1:3" ht="15.75">
      <c r="A33" s="2" t="s">
        <v>101</v>
      </c>
      <c r="B33" s="2"/>
      <c r="C33" s="2">
        <v>-1479582.83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37"/>
  <sheetViews>
    <sheetView topLeftCell="A24" workbookViewId="0">
      <selection activeCell="G18" sqref="G18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126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-20707.79</v>
      </c>
    </row>
    <row r="9" spans="1:3" ht="53.25" customHeight="1">
      <c r="A9" s="3" t="s">
        <v>32</v>
      </c>
      <c r="B9" s="5">
        <f>C9/12</f>
        <v>68592.129166666666</v>
      </c>
      <c r="C9" s="1">
        <v>823105.55</v>
      </c>
    </row>
    <row r="10" spans="1:3" ht="46.5" customHeight="1">
      <c r="A10" s="3" t="s">
        <v>33</v>
      </c>
      <c r="B10" s="5">
        <f t="shared" ref="B10:B28" si="0">C10/12</f>
        <v>3762.5224999999996</v>
      </c>
      <c r="C10" s="1">
        <f>11339.81+33810.46</f>
        <v>45150.27</v>
      </c>
    </row>
    <row r="11" spans="1:3" ht="18" customHeight="1">
      <c r="A11" s="2" t="s">
        <v>8</v>
      </c>
      <c r="B11" s="5">
        <f t="shared" si="0"/>
        <v>72354.651666666672</v>
      </c>
      <c r="C11" s="2">
        <f>SUM(C9:C10)</f>
        <v>868255.82000000007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18171.648333333334</v>
      </c>
      <c r="C13" s="1">
        <f>178309.3+39750.48</f>
        <v>218059.78</v>
      </c>
    </row>
    <row r="14" spans="1:3" ht="81.75" customHeight="1">
      <c r="A14" s="3" t="s">
        <v>30</v>
      </c>
      <c r="B14" s="5">
        <f t="shared" si="0"/>
        <v>13142.580833333333</v>
      </c>
      <c r="C14" s="1">
        <f>58355.34+99355.63</f>
        <v>157710.97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7077.666666666667</v>
      </c>
      <c r="C16" s="1">
        <v>84932</v>
      </c>
    </row>
    <row r="17" spans="1:3" ht="14.25" customHeight="1">
      <c r="A17" s="1" t="s">
        <v>18</v>
      </c>
      <c r="B17" s="5">
        <f t="shared" si="0"/>
        <v>2594.7333333333331</v>
      </c>
      <c r="C17" s="1">
        <v>31136.799999999999</v>
      </c>
    </row>
    <row r="18" spans="1:3" ht="14.25" customHeight="1">
      <c r="A18" s="1" t="s">
        <v>19</v>
      </c>
      <c r="B18" s="5">
        <f t="shared" si="0"/>
        <v>239.74</v>
      </c>
      <c r="C18" s="1">
        <v>2876.88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1142.0008333333333</v>
      </c>
      <c r="C20" s="1">
        <v>13704.01</v>
      </c>
    </row>
    <row r="21" spans="1:3" ht="14.25" customHeight="1">
      <c r="A21" s="1" t="s">
        <v>22</v>
      </c>
      <c r="B21" s="5">
        <f t="shared" si="0"/>
        <v>3207.3183333333332</v>
      </c>
      <c r="C21" s="1">
        <v>38487.82</v>
      </c>
    </row>
    <row r="22" spans="1:3" ht="14.25" customHeight="1">
      <c r="A22" s="1" t="s">
        <v>23</v>
      </c>
      <c r="B22" s="5">
        <f t="shared" si="0"/>
        <v>5787.6491666666661</v>
      </c>
      <c r="C22" s="1">
        <v>69451.789999999994</v>
      </c>
    </row>
    <row r="23" spans="1:3" ht="14.25" customHeight="1">
      <c r="A23" s="1" t="s">
        <v>24</v>
      </c>
      <c r="B23" s="5">
        <f t="shared" si="0"/>
        <v>82.044166666666669</v>
      </c>
      <c r="C23" s="1">
        <v>984.53</v>
      </c>
    </row>
    <row r="24" spans="1:3" ht="14.25" customHeight="1">
      <c r="A24" s="1" t="s">
        <v>25</v>
      </c>
      <c r="B24" s="5">
        <f t="shared" si="0"/>
        <v>3811.9308333333333</v>
      </c>
      <c r="C24" s="1">
        <v>45743.17</v>
      </c>
    </row>
    <row r="25" spans="1:3" ht="14.25" customHeight="1">
      <c r="A25" s="1" t="s">
        <v>26</v>
      </c>
      <c r="B25" s="5">
        <f t="shared" si="0"/>
        <v>412.46083333333331</v>
      </c>
      <c r="C25" s="1">
        <v>4949.53</v>
      </c>
    </row>
    <row r="26" spans="1:3" ht="14.25" customHeight="1">
      <c r="A26" s="1" t="s">
        <v>27</v>
      </c>
      <c r="B26" s="5">
        <f t="shared" si="0"/>
        <v>166.66666666666666</v>
      </c>
      <c r="C26" s="1">
        <v>2000</v>
      </c>
    </row>
    <row r="27" spans="1:3" ht="14.25" customHeight="1">
      <c r="A27" s="1" t="s">
        <v>28</v>
      </c>
      <c r="B27" s="5">
        <f t="shared" si="0"/>
        <v>14567.967499999999</v>
      </c>
      <c r="C27" s="1">
        <v>174815.61</v>
      </c>
    </row>
    <row r="28" spans="1:3" ht="14.25" customHeight="1">
      <c r="A28" s="2" t="s">
        <v>10</v>
      </c>
      <c r="B28" s="5">
        <f t="shared" si="0"/>
        <v>70404.407500000016</v>
      </c>
      <c r="C28" s="2">
        <f>SUM(C13:C27)</f>
        <v>844852.89000000013</v>
      </c>
    </row>
    <row r="29" spans="1:3" ht="31.5" customHeight="1">
      <c r="A29" s="2" t="s">
        <v>11</v>
      </c>
      <c r="C29" s="2">
        <v>2695.14</v>
      </c>
    </row>
    <row r="30" spans="1:3" ht="32.25" customHeight="1">
      <c r="A30" s="2" t="s">
        <v>12</v>
      </c>
      <c r="C30" s="2"/>
    </row>
    <row r="31" spans="1:3" ht="67.5" customHeight="1">
      <c r="A31" s="3" t="s">
        <v>127</v>
      </c>
      <c r="C31" s="1">
        <v>498776.94</v>
      </c>
    </row>
    <row r="32" spans="1:3" ht="63.75" customHeight="1">
      <c r="A32" s="3" t="s">
        <v>99</v>
      </c>
      <c r="C32" s="1">
        <v>34167.19</v>
      </c>
    </row>
    <row r="33" spans="1:3" ht="15.75">
      <c r="A33" s="2" t="s">
        <v>101</v>
      </c>
      <c r="B33" s="2"/>
      <c r="C33" s="2">
        <v>-530248.99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sqref="A1:XFD1048576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128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-282888.32000000001</v>
      </c>
    </row>
    <row r="9" spans="1:3" ht="53.25" customHeight="1">
      <c r="A9" s="3" t="s">
        <v>32</v>
      </c>
      <c r="B9" s="5">
        <f>C9/12</f>
        <v>58641.428333333337</v>
      </c>
      <c r="C9" s="1">
        <v>703697.14</v>
      </c>
    </row>
    <row r="10" spans="1:3" ht="46.5" customHeight="1">
      <c r="A10" s="3" t="s">
        <v>33</v>
      </c>
      <c r="B10" s="5">
        <f t="shared" ref="B10:B28" si="0">C10/12</f>
        <v>8329.2591666666667</v>
      </c>
      <c r="C10" s="1">
        <f>77755.88+22195.23</f>
        <v>99951.11</v>
      </c>
    </row>
    <row r="11" spans="1:3" ht="18" customHeight="1">
      <c r="A11" s="2" t="s">
        <v>8</v>
      </c>
      <c r="B11" s="5">
        <f t="shared" si="0"/>
        <v>66970.6875</v>
      </c>
      <c r="C11" s="2">
        <f>SUM(C9:C10)</f>
        <v>803648.25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14926.752500000001</v>
      </c>
      <c r="C13" s="1">
        <f>146468.75+32652.28</f>
        <v>179121.03</v>
      </c>
    </row>
    <row r="14" spans="1:3" ht="81.75" customHeight="1">
      <c r="A14" s="3" t="s">
        <v>30</v>
      </c>
      <c r="B14" s="5">
        <f t="shared" si="0"/>
        <v>16444.310833333333</v>
      </c>
      <c r="C14" s="1">
        <f>79169.73+118162</f>
        <v>197331.72999999998</v>
      </c>
    </row>
    <row r="15" spans="1:3" ht="66" customHeight="1">
      <c r="A15" s="3" t="s">
        <v>31</v>
      </c>
      <c r="B15" s="5">
        <f t="shared" si="0"/>
        <v>10658.24</v>
      </c>
      <c r="C15" s="1">
        <f>127898.88</f>
        <v>127898.88</v>
      </c>
    </row>
    <row r="16" spans="1:3" ht="16.5" customHeight="1">
      <c r="A16" s="1" t="s">
        <v>17</v>
      </c>
      <c r="B16" s="5">
        <f t="shared" si="0"/>
        <v>992.33333333333337</v>
      </c>
      <c r="C16" s="1">
        <v>11908</v>
      </c>
    </row>
    <row r="17" spans="1:3" ht="14.25" customHeight="1">
      <c r="A17" s="1" t="s">
        <v>18</v>
      </c>
      <c r="B17" s="5">
        <f t="shared" si="0"/>
        <v>1988.8966666666665</v>
      </c>
      <c r="C17" s="1">
        <v>23866.76</v>
      </c>
    </row>
    <row r="18" spans="1:3" ht="14.25" customHeight="1">
      <c r="A18" s="1" t="s">
        <v>19</v>
      </c>
      <c r="B18" s="5">
        <f t="shared" si="0"/>
        <v>125.71</v>
      </c>
      <c r="C18" s="1">
        <v>1508.52</v>
      </c>
    </row>
    <row r="19" spans="1:3" ht="14.25" customHeight="1">
      <c r="A19" s="1" t="s">
        <v>20</v>
      </c>
      <c r="B19" s="5">
        <f t="shared" si="0"/>
        <v>10929.595833333333</v>
      </c>
      <c r="C19" s="1">
        <v>131155.15</v>
      </c>
    </row>
    <row r="20" spans="1:3" ht="14.25" customHeight="1">
      <c r="A20" s="1" t="s">
        <v>21</v>
      </c>
      <c r="B20" s="5">
        <f t="shared" si="0"/>
        <v>1399.8725000000002</v>
      </c>
      <c r="C20" s="1">
        <v>16798.47</v>
      </c>
    </row>
    <row r="21" spans="1:3" ht="14.25" customHeight="1">
      <c r="A21" s="1" t="s">
        <v>22</v>
      </c>
      <c r="B21" s="5">
        <f t="shared" si="0"/>
        <v>2985.4575</v>
      </c>
      <c r="C21" s="1">
        <v>35825.49</v>
      </c>
    </row>
    <row r="22" spans="1:3" ht="14.25" customHeight="1">
      <c r="A22" s="1" t="s">
        <v>23</v>
      </c>
      <c r="B22" s="5">
        <f t="shared" si="0"/>
        <v>4754.1533333333327</v>
      </c>
      <c r="C22" s="1">
        <v>57049.84</v>
      </c>
    </row>
    <row r="23" spans="1:3" ht="14.25" customHeight="1">
      <c r="A23" s="1" t="s">
        <v>24</v>
      </c>
      <c r="B23" s="5">
        <f t="shared" si="0"/>
        <v>100.22666666666667</v>
      </c>
      <c r="C23" s="1">
        <v>1202.72</v>
      </c>
    </row>
    <row r="24" spans="1:3" ht="14.25" customHeight="1">
      <c r="A24" s="1" t="s">
        <v>25</v>
      </c>
      <c r="B24" s="5">
        <f t="shared" si="0"/>
        <v>3528.2824999999998</v>
      </c>
      <c r="C24" s="1">
        <v>42339.39</v>
      </c>
    </row>
    <row r="25" spans="1:3" ht="14.25" customHeight="1">
      <c r="A25" s="1" t="s">
        <v>26</v>
      </c>
      <c r="B25" s="5">
        <f t="shared" si="0"/>
        <v>357.17166666666668</v>
      </c>
      <c r="C25" s="1">
        <v>4286.0600000000004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11160.725</v>
      </c>
      <c r="C27" s="1">
        <v>133928.70000000001</v>
      </c>
    </row>
    <row r="28" spans="1:3" ht="14.25" customHeight="1">
      <c r="A28" s="2" t="s">
        <v>10</v>
      </c>
      <c r="B28" s="5">
        <f t="shared" si="0"/>
        <v>80351.728333333333</v>
      </c>
      <c r="C28" s="2">
        <f>SUM(C13:C27)</f>
        <v>964220.74</v>
      </c>
    </row>
    <row r="29" spans="1:3" ht="24.75" customHeight="1">
      <c r="A29" s="2" t="s">
        <v>11</v>
      </c>
    </row>
    <row r="30" spans="1:3" ht="32.25" customHeight="1">
      <c r="A30" s="2" t="s">
        <v>12</v>
      </c>
      <c r="C30" s="2">
        <v>443460.81</v>
      </c>
    </row>
    <row r="31" spans="1:3" ht="67.5" customHeight="1">
      <c r="A31" s="3" t="s">
        <v>34</v>
      </c>
      <c r="C31" s="1">
        <v>405924.47</v>
      </c>
    </row>
    <row r="32" spans="1:3" ht="63.75" customHeight="1">
      <c r="A32" s="3" t="s">
        <v>35</v>
      </c>
      <c r="C32" s="1">
        <v>45217.53</v>
      </c>
    </row>
    <row r="33" spans="1:3" ht="15.75">
      <c r="A33" s="2" t="s">
        <v>101</v>
      </c>
      <c r="B33" s="2"/>
      <c r="C33" s="2">
        <v>-894602.81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37"/>
  <sheetViews>
    <sheetView topLeftCell="A35" workbookViewId="0">
      <selection activeCell="B15" sqref="B15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129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0</v>
      </c>
    </row>
    <row r="9" spans="1:3" ht="53.25" customHeight="1">
      <c r="A9" s="3" t="s">
        <v>32</v>
      </c>
      <c r="B9" s="5">
        <f>C9/12</f>
        <v>33395.60833333333</v>
      </c>
      <c r="C9" s="1">
        <v>400747.3</v>
      </c>
    </row>
    <row r="10" spans="1:3" ht="46.5" customHeight="1">
      <c r="A10" s="3" t="s">
        <v>33</v>
      </c>
      <c r="B10" s="5">
        <f t="shared" ref="B10:B28" si="0">C10/12</f>
        <v>480.34833333333336</v>
      </c>
      <c r="C10" s="1">
        <f>2164.18+3600</f>
        <v>5764.18</v>
      </c>
    </row>
    <row r="11" spans="1:3" ht="18" customHeight="1">
      <c r="A11" s="2" t="s">
        <v>8</v>
      </c>
      <c r="B11" s="5">
        <f t="shared" si="0"/>
        <v>33875.956666666665</v>
      </c>
      <c r="C11" s="2">
        <f>SUM(C9:C10)</f>
        <v>406511.48</v>
      </c>
    </row>
    <row r="12" spans="1:3" ht="17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8805.7866666666669</v>
      </c>
      <c r="C13" s="1">
        <f>86389.41+19280.03</f>
        <v>105669.44</v>
      </c>
    </row>
    <row r="14" spans="1:3" ht="81.75" customHeight="1">
      <c r="A14" s="3" t="s">
        <v>30</v>
      </c>
      <c r="B14" s="5">
        <f t="shared" si="0"/>
        <v>5005.3258333333333</v>
      </c>
      <c r="C14" s="1">
        <f>28294.62+31769.29</f>
        <v>60063.91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7301.666666666667</v>
      </c>
      <c r="C16" s="1">
        <v>87620</v>
      </c>
    </row>
    <row r="17" spans="1:3" ht="14.25" customHeight="1">
      <c r="A17" s="1" t="s">
        <v>18</v>
      </c>
      <c r="B17" s="5">
        <f t="shared" si="0"/>
        <v>1406.1166666666668</v>
      </c>
      <c r="C17" s="1">
        <v>16873.400000000001</v>
      </c>
    </row>
    <row r="18" spans="1:3" ht="14.25" customHeight="1">
      <c r="A18" s="1" t="s">
        <v>19</v>
      </c>
      <c r="B18" s="5"/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763.04583333333323</v>
      </c>
      <c r="C20" s="1">
        <v>9156.5499999999993</v>
      </c>
    </row>
    <row r="21" spans="1:3" ht="14.25" customHeight="1">
      <c r="A21" s="1" t="s">
        <v>22</v>
      </c>
      <c r="B21" s="5">
        <f t="shared" si="0"/>
        <v>1504.9799999999998</v>
      </c>
      <c r="C21" s="1">
        <v>18059.759999999998</v>
      </c>
    </row>
    <row r="22" spans="1:3" ht="14.25" customHeight="1">
      <c r="A22" s="1" t="s">
        <v>23</v>
      </c>
      <c r="B22" s="5">
        <f t="shared" si="0"/>
        <v>3400.9866666666662</v>
      </c>
      <c r="C22" s="1">
        <v>40811.839999999997</v>
      </c>
    </row>
    <row r="23" spans="1:3" ht="14.25" customHeight="1">
      <c r="A23" s="1" t="s">
        <v>24</v>
      </c>
      <c r="B23" s="5">
        <f t="shared" si="0"/>
        <v>66.078333333333333</v>
      </c>
      <c r="C23" s="1">
        <v>792.94</v>
      </c>
    </row>
    <row r="24" spans="1:3" ht="14.25" customHeight="1">
      <c r="A24" s="1" t="s">
        <v>25</v>
      </c>
      <c r="B24" s="5">
        <f t="shared" si="0"/>
        <v>1784.72</v>
      </c>
      <c r="C24" s="1">
        <v>21416.639999999999</v>
      </c>
    </row>
    <row r="25" spans="1:3" ht="14.25" customHeight="1">
      <c r="A25" s="1" t="s">
        <v>26</v>
      </c>
      <c r="B25" s="5">
        <f t="shared" si="0"/>
        <v>216.87416666666664</v>
      </c>
      <c r="C25" s="1">
        <v>2602.4899999999998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8541.9250000000011</v>
      </c>
      <c r="C27" s="1">
        <v>102503.1</v>
      </c>
    </row>
    <row r="28" spans="1:3" ht="14.25" customHeight="1">
      <c r="A28" s="2" t="s">
        <v>10</v>
      </c>
      <c r="B28" s="5">
        <f t="shared" si="0"/>
        <v>38797.505833333336</v>
      </c>
      <c r="C28" s="2">
        <f>SUM(C13:C27)</f>
        <v>465570.07000000007</v>
      </c>
    </row>
    <row r="29" spans="1:3" ht="24.75" customHeight="1">
      <c r="A29" s="2" t="s">
        <v>11</v>
      </c>
    </row>
    <row r="30" spans="1:3" ht="32.25" customHeight="1">
      <c r="A30" s="2" t="s">
        <v>12</v>
      </c>
      <c r="C30" s="2">
        <v>59058.59</v>
      </c>
    </row>
    <row r="31" spans="1:3" ht="67.5" customHeight="1">
      <c r="A31" s="3" t="s">
        <v>34</v>
      </c>
      <c r="C31" s="1">
        <v>94782.48</v>
      </c>
    </row>
    <row r="32" spans="1:3" ht="63.75" customHeight="1">
      <c r="A32" s="3" t="s">
        <v>35</v>
      </c>
      <c r="C32" s="1">
        <v>9808.85</v>
      </c>
    </row>
    <row r="33" spans="1:3" ht="15.75">
      <c r="A33" s="2" t="s">
        <v>101</v>
      </c>
      <c r="B33" s="2"/>
      <c r="C33" s="2">
        <v>-163649.92000000001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sqref="A1:XFD1048576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130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0</v>
      </c>
    </row>
    <row r="9" spans="1:3" ht="53.25" customHeight="1">
      <c r="A9" s="3" t="s">
        <v>32</v>
      </c>
      <c r="B9" s="5">
        <f>C9/12</f>
        <v>47132.608333333337</v>
      </c>
      <c r="C9" s="1">
        <v>565591.30000000005</v>
      </c>
    </row>
    <row r="10" spans="1:3" ht="46.5" customHeight="1">
      <c r="A10" s="3" t="s">
        <v>33</v>
      </c>
      <c r="B10" s="5">
        <f t="shared" ref="B10:B28" si="0">C10/12</f>
        <v>1575.1866666666665</v>
      </c>
      <c r="C10" s="1">
        <f>6805.78+12096.46</f>
        <v>18902.239999999998</v>
      </c>
    </row>
    <row r="11" spans="1:3" ht="18" customHeight="1">
      <c r="A11" s="2" t="s">
        <v>8</v>
      </c>
      <c r="B11" s="5">
        <f t="shared" si="0"/>
        <v>48707.795000000006</v>
      </c>
      <c r="C11" s="2">
        <f>SUM(C9:C10)</f>
        <v>584493.54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12348.338333333333</v>
      </c>
      <c r="C13" s="1">
        <f>121143.69+27036.37</f>
        <v>148180.06</v>
      </c>
    </row>
    <row r="14" spans="1:3" ht="81.75" customHeight="1">
      <c r="A14" s="3" t="s">
        <v>30</v>
      </c>
      <c r="B14" s="5">
        <f t="shared" si="0"/>
        <v>6929.8583333333327</v>
      </c>
      <c r="C14" s="1">
        <f>32730.92+50427.38</f>
        <v>83158.299999999988</v>
      </c>
    </row>
    <row r="15" spans="1:3" ht="66" customHeight="1">
      <c r="A15" s="3" t="s">
        <v>31</v>
      </c>
      <c r="B15" s="5">
        <f t="shared" si="0"/>
        <v>0</v>
      </c>
    </row>
    <row r="16" spans="1:3" ht="16.5" customHeight="1">
      <c r="A16" s="1" t="s">
        <v>17</v>
      </c>
      <c r="B16" s="5">
        <f t="shared" si="0"/>
        <v>530.91666666666663</v>
      </c>
      <c r="C16" s="1">
        <v>6371</v>
      </c>
    </row>
    <row r="17" spans="1:3" ht="14.25" customHeight="1">
      <c r="A17" s="1" t="s">
        <v>18</v>
      </c>
      <c r="B17" s="5">
        <f t="shared" si="0"/>
        <v>1977.4849999999999</v>
      </c>
      <c r="C17" s="1">
        <v>23729.82</v>
      </c>
    </row>
    <row r="18" spans="1:3" ht="14.25" customHeight="1">
      <c r="A18" s="1" t="s">
        <v>19</v>
      </c>
      <c r="B18" s="5"/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900.39416666666659</v>
      </c>
      <c r="C20" s="1">
        <v>10804.73</v>
      </c>
    </row>
    <row r="21" spans="1:3" ht="14.25" customHeight="1">
      <c r="A21" s="1" t="s">
        <v>22</v>
      </c>
      <c r="B21" s="5">
        <f t="shared" si="0"/>
        <v>2148.6950000000002</v>
      </c>
      <c r="C21" s="1">
        <v>25784.34</v>
      </c>
    </row>
    <row r="22" spans="1:3" ht="14.25" customHeight="1">
      <c r="A22" s="1" t="s">
        <v>23</v>
      </c>
      <c r="B22" s="5">
        <f t="shared" si="0"/>
        <v>4769.1966666666667</v>
      </c>
      <c r="C22" s="1">
        <v>57230.36</v>
      </c>
    </row>
    <row r="23" spans="1:3" ht="14.25" customHeight="1">
      <c r="A23" s="1" t="s">
        <v>24</v>
      </c>
      <c r="B23" s="5">
        <f t="shared" si="0"/>
        <v>149.4425</v>
      </c>
      <c r="C23" s="1">
        <v>1793.31</v>
      </c>
    </row>
    <row r="24" spans="1:3" ht="14.25" customHeight="1">
      <c r="A24" s="1" t="s">
        <v>25</v>
      </c>
      <c r="B24" s="5">
        <f t="shared" si="0"/>
        <v>2566.1208333333334</v>
      </c>
      <c r="C24" s="1">
        <v>30793.45</v>
      </c>
    </row>
    <row r="25" spans="1:3" ht="14.25" customHeight="1">
      <c r="A25" s="1" t="s">
        <v>26</v>
      </c>
      <c r="B25" s="5">
        <f t="shared" si="0"/>
        <v>264.9108333333333</v>
      </c>
      <c r="C25" s="1">
        <v>3178.93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12222.765833333333</v>
      </c>
      <c r="C27" s="1">
        <v>146673.19</v>
      </c>
    </row>
    <row r="28" spans="1:3" ht="14.25" customHeight="1">
      <c r="A28" s="2" t="s">
        <v>10</v>
      </c>
      <c r="B28" s="5">
        <f t="shared" si="0"/>
        <v>44808.124166666668</v>
      </c>
      <c r="C28" s="2">
        <f>SUM(C13:C27)</f>
        <v>537697.49</v>
      </c>
    </row>
    <row r="29" spans="1:3" ht="24.75" customHeight="1">
      <c r="A29" s="2" t="s">
        <v>11</v>
      </c>
      <c r="C29" s="2">
        <v>46796.05</v>
      </c>
    </row>
    <row r="30" spans="1:3" ht="32.25" customHeight="1">
      <c r="A30" s="2" t="s">
        <v>12</v>
      </c>
      <c r="C30" s="2"/>
    </row>
    <row r="31" spans="1:3" ht="67.5" customHeight="1">
      <c r="A31" s="3" t="s">
        <v>34</v>
      </c>
      <c r="C31" s="1">
        <v>119712.67</v>
      </c>
    </row>
    <row r="32" spans="1:3" ht="63.75" customHeight="1">
      <c r="A32" s="3" t="s">
        <v>35</v>
      </c>
      <c r="C32" s="1">
        <v>9188.06</v>
      </c>
    </row>
    <row r="33" spans="1:3" ht="15.75">
      <c r="A33" s="2" t="s">
        <v>101</v>
      </c>
      <c r="B33" s="2"/>
      <c r="C33" s="2">
        <v>-82104.679999999993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132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-30484.639999999999</v>
      </c>
    </row>
    <row r="9" spans="1:3" ht="53.25" customHeight="1">
      <c r="A9" s="3" t="s">
        <v>32</v>
      </c>
      <c r="B9" s="5">
        <f>C9/12</f>
        <v>31128.258333333331</v>
      </c>
      <c r="C9" s="1">
        <v>373539.1</v>
      </c>
    </row>
    <row r="10" spans="1:3" ht="46.5" customHeight="1">
      <c r="A10" s="3" t="s">
        <v>33</v>
      </c>
      <c r="B10" s="5">
        <f t="shared" ref="B10:B28" si="0">C10/12</f>
        <v>12563.344166666668</v>
      </c>
      <c r="C10" s="1">
        <f>135734.9+15025.23</f>
        <v>150760.13</v>
      </c>
    </row>
    <row r="11" spans="1:3" ht="18" customHeight="1">
      <c r="A11" s="2" t="s">
        <v>8</v>
      </c>
      <c r="B11" s="5">
        <f t="shared" si="0"/>
        <v>43691.602500000001</v>
      </c>
      <c r="C11" s="2">
        <f>SUM(C9:C10)</f>
        <v>524299.23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11928.097499999998</v>
      </c>
      <c r="C13" s="1">
        <f>117044.45+26092.72</f>
        <v>143137.16999999998</v>
      </c>
    </row>
    <row r="14" spans="1:3" ht="81.75" customHeight="1">
      <c r="A14" s="3" t="s">
        <v>30</v>
      </c>
      <c r="B14" s="5">
        <f t="shared" si="0"/>
        <v>7971.6691666666666</v>
      </c>
      <c r="C14" s="1">
        <f>25850.13+69809.9</f>
        <v>95660.03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2341.25</v>
      </c>
      <c r="C16" s="1">
        <v>28095</v>
      </c>
    </row>
    <row r="17" spans="1:3" ht="14.25" customHeight="1">
      <c r="A17" s="1" t="s">
        <v>18</v>
      </c>
      <c r="B17" s="5">
        <f t="shared" si="0"/>
        <v>1765.1266666666668</v>
      </c>
      <c r="C17" s="1">
        <v>21181.52</v>
      </c>
    </row>
    <row r="18" spans="1:3" ht="14.25" customHeight="1">
      <c r="A18" s="1" t="s">
        <v>19</v>
      </c>
      <c r="B18" s="5">
        <f t="shared" si="0"/>
        <v>28.430000000000003</v>
      </c>
      <c r="C18" s="1">
        <v>341.16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589.41999999999996</v>
      </c>
      <c r="C20" s="1">
        <v>7073.04</v>
      </c>
    </row>
    <row r="21" spans="1:3" ht="14.25" customHeight="1">
      <c r="A21" s="1" t="s">
        <v>22</v>
      </c>
      <c r="B21" s="5">
        <f t="shared" si="0"/>
        <v>1929.6424999999999</v>
      </c>
      <c r="C21" s="1">
        <v>23155.71</v>
      </c>
    </row>
    <row r="22" spans="1:3" ht="14.25" customHeight="1">
      <c r="A22" s="1" t="s">
        <v>23</v>
      </c>
      <c r="B22" s="5">
        <f t="shared" si="0"/>
        <v>3799.0849999999996</v>
      </c>
      <c r="C22" s="1">
        <v>45589.02</v>
      </c>
    </row>
    <row r="23" spans="1:3" ht="14.25" customHeight="1">
      <c r="A23" s="1" t="s">
        <v>24</v>
      </c>
      <c r="B23" s="5">
        <f t="shared" si="0"/>
        <v>43.461666666666666</v>
      </c>
      <c r="C23" s="1">
        <v>521.54</v>
      </c>
    </row>
    <row r="24" spans="1:3" ht="14.25" customHeight="1">
      <c r="A24" s="1" t="s">
        <v>25</v>
      </c>
      <c r="B24" s="5">
        <f t="shared" si="0"/>
        <v>2301.8474999999999</v>
      </c>
      <c r="C24" s="1">
        <v>27622.17</v>
      </c>
    </row>
    <row r="25" spans="1:3" ht="14.25" customHeight="1">
      <c r="A25" s="1" t="s">
        <v>26</v>
      </c>
      <c r="B25" s="5">
        <f t="shared" si="0"/>
        <v>186.94583333333333</v>
      </c>
      <c r="C25" s="1">
        <v>2243.35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9883.9325000000008</v>
      </c>
      <c r="C27" s="1">
        <v>118607.19</v>
      </c>
    </row>
    <row r="28" spans="1:3" ht="14.25" customHeight="1">
      <c r="A28" s="2" t="s">
        <v>10</v>
      </c>
      <c r="B28" s="5">
        <f t="shared" si="0"/>
        <v>42768.908333333326</v>
      </c>
      <c r="C28" s="2">
        <f>SUM(C13:C27)</f>
        <v>513226.89999999991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19412.310000000001</v>
      </c>
    </row>
    <row r="31" spans="1:3" ht="67.5" customHeight="1">
      <c r="A31" s="3" t="s">
        <v>34</v>
      </c>
      <c r="C31" s="1">
        <v>198214.89</v>
      </c>
    </row>
    <row r="32" spans="1:3" ht="63.75" customHeight="1">
      <c r="A32" s="3" t="s">
        <v>35</v>
      </c>
      <c r="C32" s="1">
        <v>24181.360000000001</v>
      </c>
    </row>
    <row r="33" spans="1:3" ht="15.75">
      <c r="A33" s="2" t="s">
        <v>101</v>
      </c>
      <c r="B33" s="2"/>
      <c r="C33" s="2">
        <v>-241808.56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C33" sqref="C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45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1">
        <v>-77750.350000000006</v>
      </c>
    </row>
    <row r="9" spans="1:3" ht="53.25" customHeight="1">
      <c r="A9" s="3" t="s">
        <v>32</v>
      </c>
      <c r="B9" s="5">
        <f>C9/12</f>
        <v>37091.375</v>
      </c>
      <c r="C9" s="1">
        <v>445096.5</v>
      </c>
    </row>
    <row r="10" spans="1:3" ht="46.5" customHeight="1">
      <c r="A10" s="3" t="s">
        <v>33</v>
      </c>
      <c r="B10" s="5">
        <f t="shared" ref="B10:B28" si="0">C10/12</f>
        <v>1581.88</v>
      </c>
      <c r="C10" s="1">
        <f>10863.67+8118.89</f>
        <v>18982.560000000001</v>
      </c>
    </row>
    <row r="11" spans="1:3" ht="18" customHeight="1">
      <c r="A11" s="2" t="s">
        <v>8</v>
      </c>
      <c r="B11" s="5">
        <f t="shared" si="0"/>
        <v>38673.254999999997</v>
      </c>
      <c r="C11" s="1">
        <f>SUM(C9:C10)</f>
        <v>464079.06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10007.137499999999</v>
      </c>
      <c r="C13" s="1">
        <f>98195.03+21890.62</f>
        <v>120085.65</v>
      </c>
    </row>
    <row r="14" spans="1:3" ht="81.75" customHeight="1">
      <c r="A14" s="3" t="s">
        <v>30</v>
      </c>
      <c r="B14" s="5">
        <f t="shared" si="0"/>
        <v>9142.8533333333344</v>
      </c>
      <c r="C14" s="1">
        <f>30708.14+79006.1</f>
        <v>109714.24000000001</v>
      </c>
    </row>
    <row r="15" spans="1:3" ht="66" customHeight="1">
      <c r="A15" s="3" t="s">
        <v>31</v>
      </c>
      <c r="B15" s="5">
        <f t="shared" si="0"/>
        <v>0</v>
      </c>
    </row>
    <row r="16" spans="1:3" ht="16.5" customHeight="1">
      <c r="A16" s="1" t="s">
        <v>17</v>
      </c>
      <c r="B16" s="5">
        <f t="shared" si="0"/>
        <v>1990.9166666666667</v>
      </c>
      <c r="C16" s="1">
        <v>23891</v>
      </c>
    </row>
    <row r="17" spans="1:3" ht="14.25" customHeight="1">
      <c r="A17" s="1" t="s">
        <v>18</v>
      </c>
      <c r="B17" s="5">
        <f t="shared" si="0"/>
        <v>1439.76</v>
      </c>
      <c r="C17" s="1">
        <v>17277.12</v>
      </c>
    </row>
    <row r="18" spans="1:3" ht="14.25" customHeight="1">
      <c r="A18" s="1" t="s">
        <v>19</v>
      </c>
      <c r="B18" s="5"/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690.72666666666657</v>
      </c>
      <c r="C20" s="1">
        <v>8288.7199999999993</v>
      </c>
    </row>
    <row r="21" spans="1:3" ht="14.25" customHeight="1">
      <c r="A21" s="1" t="s">
        <v>22</v>
      </c>
      <c r="B21" s="5">
        <f t="shared" si="0"/>
        <v>1722.5283333333334</v>
      </c>
      <c r="C21" s="1">
        <v>20670.34</v>
      </c>
    </row>
    <row r="22" spans="1:3" ht="14.25" customHeight="1">
      <c r="A22" s="1" t="s">
        <v>23</v>
      </c>
      <c r="B22" s="5">
        <f t="shared" si="0"/>
        <v>3187.2608333333333</v>
      </c>
      <c r="C22" s="1">
        <v>38247.129999999997</v>
      </c>
    </row>
    <row r="23" spans="1:3" ht="14.25" customHeight="1">
      <c r="A23" s="1" t="s">
        <v>24</v>
      </c>
      <c r="B23" s="5">
        <f t="shared" si="0"/>
        <v>462.85500000000002</v>
      </c>
      <c r="C23" s="1">
        <v>5554.26</v>
      </c>
    </row>
    <row r="24" spans="1:3" ht="14.25" customHeight="1">
      <c r="A24" s="1" t="s">
        <v>25</v>
      </c>
      <c r="B24" s="5">
        <f t="shared" si="0"/>
        <v>2037.4608333333333</v>
      </c>
      <c r="C24" s="1">
        <v>24449.53</v>
      </c>
    </row>
    <row r="25" spans="1:3" ht="14.25" customHeight="1">
      <c r="A25" s="1" t="s">
        <v>26</v>
      </c>
      <c r="B25" s="5">
        <f t="shared" si="0"/>
        <v>224.84</v>
      </c>
      <c r="C25" s="1">
        <v>2698.08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8056.8866666666663</v>
      </c>
      <c r="C27" s="1">
        <v>96682.64</v>
      </c>
    </row>
    <row r="28" spans="1:3" ht="14.25" customHeight="1">
      <c r="A28" s="2" t="s">
        <v>10</v>
      </c>
      <c r="B28" s="5">
        <f t="shared" si="0"/>
        <v>38963.225833333338</v>
      </c>
      <c r="C28" s="1">
        <f>SUM(C13:C27)</f>
        <v>467558.71</v>
      </c>
    </row>
    <row r="29" spans="1:3" ht="14.25" customHeight="1">
      <c r="A29" s="2" t="s">
        <v>11</v>
      </c>
    </row>
    <row r="30" spans="1:3" ht="14.25" customHeight="1">
      <c r="A30" s="2" t="s">
        <v>12</v>
      </c>
      <c r="C30" s="1">
        <v>81230</v>
      </c>
    </row>
    <row r="31" spans="1:3" ht="68.25" customHeight="1">
      <c r="A31" s="3" t="s">
        <v>46</v>
      </c>
      <c r="C31" s="1">
        <v>203048.55</v>
      </c>
    </row>
    <row r="32" spans="1:3" ht="72" customHeight="1">
      <c r="A32" s="3" t="s">
        <v>59</v>
      </c>
      <c r="C32" s="1">
        <v>0</v>
      </c>
    </row>
    <row r="33" spans="1:3" ht="15.75">
      <c r="A33" s="2" t="s">
        <v>97</v>
      </c>
      <c r="C33" s="2">
        <v>-284278.55</v>
      </c>
    </row>
    <row r="34" spans="1:3" ht="60.75" customHeight="1">
      <c r="A34" s="1" t="s">
        <v>16</v>
      </c>
    </row>
    <row r="35" spans="1:3" ht="43.5" customHeight="1">
      <c r="A35" s="1" t="s">
        <v>13</v>
      </c>
    </row>
    <row r="36" spans="1:3" ht="27.75" customHeight="1">
      <c r="A36" s="1" t="s">
        <v>14</v>
      </c>
    </row>
    <row r="37" spans="1:3" ht="28.5" customHeight="1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133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-48075.040000000001</v>
      </c>
    </row>
    <row r="9" spans="1:3" ht="53.25" customHeight="1">
      <c r="A9" s="3" t="s">
        <v>32</v>
      </c>
      <c r="B9" s="5">
        <f>C9/12</f>
        <v>60770.758333333331</v>
      </c>
      <c r="C9" s="1">
        <v>729249.1</v>
      </c>
    </row>
    <row r="10" spans="1:3" ht="46.5" customHeight="1">
      <c r="A10" s="3" t="s">
        <v>33</v>
      </c>
      <c r="B10" s="5">
        <f t="shared" ref="B10:B28" si="0">C10/12</f>
        <v>2943.7691666666669</v>
      </c>
      <c r="C10" s="1">
        <v>35325.230000000003</v>
      </c>
    </row>
    <row r="11" spans="1:3" ht="18" customHeight="1">
      <c r="A11" s="2" t="s">
        <v>8</v>
      </c>
      <c r="B11" s="5">
        <f t="shared" si="0"/>
        <v>63714.527499999997</v>
      </c>
      <c r="C11" s="2">
        <f>SUM(C9:C10)</f>
        <v>764574.33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12924.863333333333</v>
      </c>
      <c r="C13" s="1">
        <f>126825.22+28273.14</f>
        <v>155098.35999999999</v>
      </c>
    </row>
    <row r="14" spans="1:3" ht="81.75" customHeight="1">
      <c r="A14" s="3" t="s">
        <v>30</v>
      </c>
      <c r="B14" s="5">
        <f t="shared" si="0"/>
        <v>11722.435833333335</v>
      </c>
      <c r="C14" s="1">
        <f>57753.51+82915.72</f>
        <v>140669.23000000001</v>
      </c>
    </row>
    <row r="15" spans="1:3" ht="66" customHeight="1">
      <c r="A15" s="3" t="s">
        <v>31</v>
      </c>
      <c r="B15" s="5">
        <f t="shared" si="0"/>
        <v>5048.6400000000003</v>
      </c>
      <c r="C15" s="1">
        <v>60583.68</v>
      </c>
    </row>
    <row r="16" spans="1:3" ht="16.5" customHeight="1">
      <c r="A16" s="1" t="s">
        <v>17</v>
      </c>
      <c r="B16" s="5">
        <f t="shared" si="0"/>
        <v>1343.5833333333333</v>
      </c>
      <c r="C16" s="1">
        <v>16123</v>
      </c>
    </row>
    <row r="17" spans="1:3" ht="14.25" customHeight="1">
      <c r="A17" s="1" t="s">
        <v>18</v>
      </c>
      <c r="B17" s="5">
        <f t="shared" si="0"/>
        <v>1752.8999999999999</v>
      </c>
      <c r="C17" s="1">
        <v>21034.799999999999</v>
      </c>
    </row>
    <row r="18" spans="1:3" ht="14.25" customHeight="1">
      <c r="A18" s="1" t="s">
        <v>19</v>
      </c>
      <c r="B18" s="5">
        <f t="shared" si="0"/>
        <v>90.745833333333337</v>
      </c>
      <c r="C18" s="1">
        <v>1088.95</v>
      </c>
    </row>
    <row r="19" spans="1:3" ht="14.25" customHeight="1">
      <c r="A19" s="1" t="s">
        <v>20</v>
      </c>
      <c r="B19" s="5">
        <f t="shared" si="0"/>
        <v>10373.930833333334</v>
      </c>
      <c r="C19" s="1">
        <v>124487.17</v>
      </c>
    </row>
    <row r="20" spans="1:3" ht="14.25" customHeight="1">
      <c r="A20" s="1" t="s">
        <v>21</v>
      </c>
      <c r="B20" s="5">
        <f t="shared" si="0"/>
        <v>670.36749999999995</v>
      </c>
      <c r="C20" s="1">
        <v>8044.41</v>
      </c>
    </row>
    <row r="21" spans="1:3" ht="14.25" customHeight="1">
      <c r="A21" s="1" t="s">
        <v>22</v>
      </c>
      <c r="B21" s="5">
        <f t="shared" si="0"/>
        <v>2783.4308333333333</v>
      </c>
      <c r="C21" s="1">
        <v>33401.17</v>
      </c>
    </row>
    <row r="22" spans="1:3" ht="14.25" customHeight="1">
      <c r="A22" s="1" t="s">
        <v>23</v>
      </c>
      <c r="B22" s="5">
        <f t="shared" si="0"/>
        <v>4116.5541666666668</v>
      </c>
      <c r="C22" s="1">
        <v>49398.65</v>
      </c>
    </row>
    <row r="23" spans="1:3" ht="14.25" customHeight="1">
      <c r="A23" s="1" t="s">
        <v>24</v>
      </c>
      <c r="B23" s="5">
        <f t="shared" si="0"/>
        <v>49.226666666666667</v>
      </c>
      <c r="C23" s="1">
        <v>590.72</v>
      </c>
    </row>
    <row r="24" spans="1:3" ht="14.25" customHeight="1">
      <c r="A24" s="1" t="s">
        <v>25</v>
      </c>
      <c r="B24" s="5">
        <f t="shared" si="0"/>
        <v>3356.7350000000001</v>
      </c>
      <c r="C24" s="1">
        <v>40280.82</v>
      </c>
    </row>
    <row r="25" spans="1:3" ht="14.25" customHeight="1">
      <c r="A25" s="1" t="s">
        <v>26</v>
      </c>
      <c r="B25" s="5">
        <f t="shared" si="0"/>
        <v>122.15166666666666</v>
      </c>
      <c r="C25" s="1">
        <v>1465.82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9870.94</v>
      </c>
      <c r="C27" s="1">
        <v>118451.28</v>
      </c>
    </row>
    <row r="28" spans="1:3" ht="14.25" customHeight="1">
      <c r="A28" s="2" t="s">
        <v>10</v>
      </c>
      <c r="B28" s="5">
        <f t="shared" si="0"/>
        <v>64226.504999999997</v>
      </c>
      <c r="C28" s="2">
        <f>SUM(C13:C27)</f>
        <v>770718.05999999994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54218.77</v>
      </c>
    </row>
    <row r="31" spans="1:3" ht="67.5" customHeight="1">
      <c r="A31" s="3" t="s">
        <v>34</v>
      </c>
      <c r="C31" s="1">
        <v>156219.66</v>
      </c>
    </row>
    <row r="32" spans="1:3" ht="63.75" customHeight="1">
      <c r="A32" s="3" t="s">
        <v>35</v>
      </c>
      <c r="C32" s="1">
        <v>27434.91</v>
      </c>
    </row>
    <row r="33" spans="1:3" ht="15.75">
      <c r="A33" s="2" t="s">
        <v>101</v>
      </c>
      <c r="B33" s="2"/>
      <c r="C33" s="2">
        <v>-237873.34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134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-40150.14</v>
      </c>
    </row>
    <row r="9" spans="1:3" ht="53.25" customHeight="1">
      <c r="A9" s="3" t="s">
        <v>32</v>
      </c>
      <c r="B9" s="5">
        <f>C9/12</f>
        <v>42633.325000000004</v>
      </c>
      <c r="C9" s="1">
        <v>511599.9</v>
      </c>
    </row>
    <row r="10" spans="1:3" ht="46.5" customHeight="1">
      <c r="A10" s="3" t="s">
        <v>33</v>
      </c>
      <c r="B10" s="5">
        <f t="shared" ref="B10:B28" si="0">C10/12</f>
        <v>1565.4358333333332</v>
      </c>
      <c r="C10" s="1">
        <v>18785.23</v>
      </c>
    </row>
    <row r="11" spans="1:3" ht="18" customHeight="1">
      <c r="A11" s="2" t="s">
        <v>8</v>
      </c>
      <c r="B11" s="5">
        <f t="shared" si="0"/>
        <v>44198.760833333334</v>
      </c>
      <c r="C11" s="2">
        <f>SUM(C9:C10)</f>
        <v>530385.13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11480.834999999999</v>
      </c>
      <c r="C13" s="1">
        <f>112655.7+25114.32</f>
        <v>137770.01999999999</v>
      </c>
    </row>
    <row r="14" spans="1:3" ht="81.75" customHeight="1">
      <c r="A14" s="3" t="s">
        <v>30</v>
      </c>
      <c r="B14" s="5">
        <f t="shared" si="0"/>
        <v>12102.103333333333</v>
      </c>
      <c r="C14" s="1">
        <f>54237.87+90987.37</f>
        <v>145225.24</v>
      </c>
    </row>
    <row r="15" spans="1:3" ht="66" customHeight="1">
      <c r="A15" s="3" t="s">
        <v>31</v>
      </c>
      <c r="B15" s="5">
        <f t="shared" si="0"/>
        <v>0</v>
      </c>
    </row>
    <row r="16" spans="1:3" ht="16.5" customHeight="1">
      <c r="A16" s="1" t="s">
        <v>17</v>
      </c>
      <c r="B16" s="5">
        <f t="shared" si="0"/>
        <v>8073.25</v>
      </c>
      <c r="C16" s="1">
        <v>96879</v>
      </c>
    </row>
    <row r="17" spans="1:3" ht="14.25" customHeight="1">
      <c r="A17" s="1" t="s">
        <v>18</v>
      </c>
      <c r="B17" s="5">
        <f t="shared" si="0"/>
        <v>1563.885</v>
      </c>
      <c r="C17" s="1">
        <v>18766.62</v>
      </c>
    </row>
    <row r="18" spans="1:3" ht="14.25" customHeight="1">
      <c r="A18" s="1" t="s">
        <v>19</v>
      </c>
      <c r="B18" s="5">
        <f t="shared" si="0"/>
        <v>194.88</v>
      </c>
      <c r="C18" s="1">
        <v>2338.56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690.72666666666657</v>
      </c>
      <c r="C20" s="1">
        <v>8288.7199999999993</v>
      </c>
    </row>
    <row r="21" spans="1:3" ht="14.25" customHeight="1">
      <c r="A21" s="1" t="s">
        <v>22</v>
      </c>
      <c r="B21" s="5">
        <f t="shared" si="0"/>
        <v>1945.1850000000002</v>
      </c>
      <c r="C21" s="1">
        <v>23342.22</v>
      </c>
    </row>
    <row r="22" spans="1:3" ht="14.25" customHeight="1">
      <c r="A22" s="1" t="s">
        <v>23</v>
      </c>
      <c r="B22" s="5">
        <f t="shared" si="0"/>
        <v>3656.6316666666667</v>
      </c>
      <c r="C22" s="1">
        <v>43879.58</v>
      </c>
    </row>
    <row r="23" spans="1:3" ht="14.25" customHeight="1">
      <c r="A23" s="1" t="s">
        <v>24</v>
      </c>
      <c r="B23" s="5">
        <f t="shared" si="0"/>
        <v>54.548333333333339</v>
      </c>
      <c r="C23" s="1">
        <v>654.58000000000004</v>
      </c>
    </row>
    <row r="24" spans="1:3" ht="14.25" customHeight="1">
      <c r="A24" s="1" t="s">
        <v>25</v>
      </c>
      <c r="B24" s="5">
        <f t="shared" si="0"/>
        <v>2328.5666666666666</v>
      </c>
      <c r="C24" s="1">
        <v>27942.799999999999</v>
      </c>
    </row>
    <row r="25" spans="1:3" ht="14.25" customHeight="1">
      <c r="A25" s="1" t="s">
        <v>26</v>
      </c>
      <c r="B25" s="5">
        <f t="shared" si="0"/>
        <v>230.50416666666669</v>
      </c>
      <c r="C25" s="1">
        <v>2766.05</v>
      </c>
    </row>
    <row r="26" spans="1:3" ht="14.25" customHeight="1">
      <c r="A26" s="1" t="s">
        <v>27</v>
      </c>
      <c r="B26" s="5">
        <f t="shared" si="0"/>
        <v>90.424166666666665</v>
      </c>
      <c r="C26" s="1">
        <v>1085.0899999999999</v>
      </c>
    </row>
    <row r="27" spans="1:3" ht="14.25" customHeight="1">
      <c r="A27" s="1" t="s">
        <v>28</v>
      </c>
      <c r="B27" s="5">
        <f t="shared" si="0"/>
        <v>8755.9125000000004</v>
      </c>
      <c r="C27" s="1">
        <v>105070.95</v>
      </c>
    </row>
    <row r="28" spans="1:3" ht="14.25" customHeight="1">
      <c r="A28" s="2" t="s">
        <v>10</v>
      </c>
      <c r="B28" s="5">
        <f t="shared" si="0"/>
        <v>51167.452500000007</v>
      </c>
      <c r="C28" s="2">
        <f>SUM(C13:C27)</f>
        <v>614009.43000000005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123774.44</v>
      </c>
    </row>
    <row r="31" spans="1:3" ht="67.5" customHeight="1">
      <c r="A31" s="3" t="s">
        <v>34</v>
      </c>
      <c r="C31" s="1">
        <v>20166.310000000001</v>
      </c>
    </row>
    <row r="32" spans="1:3" ht="63.75" customHeight="1">
      <c r="A32" s="3" t="s">
        <v>35</v>
      </c>
      <c r="C32" s="1">
        <v>33826.35</v>
      </c>
    </row>
    <row r="33" spans="1:3" ht="15.75">
      <c r="A33" s="2" t="s">
        <v>101</v>
      </c>
      <c r="B33" s="2"/>
      <c r="C33" s="2">
        <v>-177767.1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37"/>
  <sheetViews>
    <sheetView topLeftCell="A29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135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-85110.71</v>
      </c>
    </row>
    <row r="9" spans="1:3" ht="53.25" customHeight="1">
      <c r="A9" s="3" t="s">
        <v>32</v>
      </c>
      <c r="B9" s="5">
        <f>C9/12</f>
        <v>40600.275000000001</v>
      </c>
      <c r="C9" s="1">
        <v>487203.3</v>
      </c>
    </row>
    <row r="10" spans="1:3" ht="46.5" customHeight="1">
      <c r="A10" s="3" t="s">
        <v>33</v>
      </c>
      <c r="B10" s="5">
        <f t="shared" ref="B10:B28" si="0">C10/12</f>
        <v>2234.5425</v>
      </c>
      <c r="C10" s="1">
        <f>8029.28+18785.23</f>
        <v>26814.51</v>
      </c>
    </row>
    <row r="11" spans="1:3" ht="18" customHeight="1">
      <c r="A11" s="2" t="s">
        <v>8</v>
      </c>
      <c r="B11" s="5">
        <f t="shared" si="0"/>
        <v>42834.817499999997</v>
      </c>
      <c r="C11" s="2">
        <f>SUM(C9:C10)</f>
        <v>514017.81</v>
      </c>
    </row>
    <row r="12" spans="1:3" ht="17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11569.590000000002</v>
      </c>
      <c r="C13" s="1">
        <f>113526.6+25308.48</f>
        <v>138835.08000000002</v>
      </c>
    </row>
    <row r="14" spans="1:3" ht="81.75" customHeight="1">
      <c r="A14" s="3" t="s">
        <v>30</v>
      </c>
      <c r="B14" s="5">
        <f t="shared" si="0"/>
        <v>15220.9</v>
      </c>
      <c r="C14" s="1">
        <f>59678.47+122972.33</f>
        <v>182650.8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4762.333333333333</v>
      </c>
      <c r="C16" s="1">
        <v>57148</v>
      </c>
    </row>
    <row r="17" spans="1:3" ht="14.25" customHeight="1">
      <c r="A17" s="1" t="s">
        <v>18</v>
      </c>
      <c r="B17" s="5">
        <f t="shared" si="0"/>
        <v>1552.5116666666665</v>
      </c>
      <c r="C17" s="1">
        <v>18630.14</v>
      </c>
    </row>
    <row r="18" spans="1:3" ht="14.25" customHeight="1">
      <c r="A18" s="1" t="s">
        <v>19</v>
      </c>
      <c r="B18" s="5">
        <f t="shared" si="0"/>
        <v>197.42</v>
      </c>
      <c r="C18" s="1">
        <v>2369.04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635.46833333333336</v>
      </c>
      <c r="C20" s="1">
        <v>7625.62</v>
      </c>
    </row>
    <row r="21" spans="1:3" ht="14.25" customHeight="1">
      <c r="A21" s="1" t="s">
        <v>22</v>
      </c>
      <c r="B21" s="5">
        <f t="shared" si="0"/>
        <v>1874.9449999999999</v>
      </c>
      <c r="C21" s="1">
        <v>22499.34</v>
      </c>
    </row>
    <row r="22" spans="1:3" ht="14.25" customHeight="1">
      <c r="A22" s="1" t="s">
        <v>23</v>
      </c>
      <c r="B22" s="5">
        <f t="shared" si="0"/>
        <v>3684.9025000000001</v>
      </c>
      <c r="C22" s="1">
        <v>44218.83</v>
      </c>
    </row>
    <row r="23" spans="1:3" ht="14.25" customHeight="1">
      <c r="A23" s="1" t="s">
        <v>24</v>
      </c>
      <c r="B23" s="5">
        <f t="shared" si="0"/>
        <v>82.704166666666666</v>
      </c>
      <c r="C23" s="1">
        <v>992.45</v>
      </c>
    </row>
    <row r="24" spans="1:3" ht="14.25" customHeight="1">
      <c r="A24" s="1" t="s">
        <v>25</v>
      </c>
      <c r="B24" s="5">
        <f t="shared" si="0"/>
        <v>2256.7083333333335</v>
      </c>
      <c r="C24" s="1">
        <v>27080.5</v>
      </c>
    </row>
    <row r="25" spans="1:3" ht="14.25" customHeight="1">
      <c r="A25" s="1" t="s">
        <v>26</v>
      </c>
      <c r="B25" s="5">
        <f t="shared" si="0"/>
        <v>200.77833333333334</v>
      </c>
      <c r="C25" s="1">
        <v>2409.34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8694.06</v>
      </c>
      <c r="C27" s="1">
        <v>104328.72</v>
      </c>
    </row>
    <row r="28" spans="1:3" ht="14.25" customHeight="1">
      <c r="A28" s="2" t="s">
        <v>10</v>
      </c>
      <c r="B28" s="5">
        <f t="shared" si="0"/>
        <v>50732.321666666678</v>
      </c>
      <c r="C28" s="2">
        <f>SUM(C13:C27)</f>
        <v>608787.8600000001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179880.76</v>
      </c>
    </row>
    <row r="31" spans="1:3" ht="67.5" customHeight="1">
      <c r="A31" s="3" t="s">
        <v>34</v>
      </c>
      <c r="C31" s="1">
        <v>189632.21</v>
      </c>
    </row>
    <row r="32" spans="1:3" ht="63.75" customHeight="1">
      <c r="A32" s="3" t="s">
        <v>35</v>
      </c>
      <c r="C32" s="1">
        <v>32198.41</v>
      </c>
    </row>
    <row r="33" spans="1:3" ht="15.75">
      <c r="A33" s="2" t="s">
        <v>101</v>
      </c>
      <c r="B33" s="2"/>
      <c r="C33" s="2">
        <v>-401711.38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136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-115838.86</v>
      </c>
    </row>
    <row r="9" spans="1:3" ht="53.25" customHeight="1">
      <c r="A9" s="3" t="s">
        <v>32</v>
      </c>
      <c r="B9" s="5">
        <f>C9/12</f>
        <v>35952.066666666666</v>
      </c>
      <c r="C9" s="1">
        <v>431424.8</v>
      </c>
    </row>
    <row r="10" spans="1:3" ht="46.5" customHeight="1">
      <c r="A10" s="3" t="s">
        <v>33</v>
      </c>
      <c r="B10" s="5">
        <f t="shared" ref="B10:B28" si="0">C10/12</f>
        <v>4838.5891666666666</v>
      </c>
      <c r="C10" s="1">
        <f>49626.07+8437</f>
        <v>58063.07</v>
      </c>
    </row>
    <row r="11" spans="1:3" ht="18" customHeight="1">
      <c r="A11" s="2" t="s">
        <v>8</v>
      </c>
      <c r="B11" s="5">
        <f t="shared" si="0"/>
        <v>40790.655833333331</v>
      </c>
      <c r="C11" s="2">
        <f>SUM(C9:C10)</f>
        <v>489487.87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11306.883333333333</v>
      </c>
      <c r="C13" s="1">
        <f>110948.8+24733.8</f>
        <v>135682.6</v>
      </c>
    </row>
    <row r="14" spans="1:3" ht="81.75" customHeight="1">
      <c r="A14" s="3" t="s">
        <v>30</v>
      </c>
      <c r="B14" s="5">
        <f t="shared" si="0"/>
        <v>11125.25</v>
      </c>
      <c r="C14" s="1">
        <f>48224.63+85278.37</f>
        <v>133503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2792.3333333333335</v>
      </c>
      <c r="C16" s="1">
        <v>33508</v>
      </c>
    </row>
    <row r="17" spans="1:3" ht="14.25" customHeight="1">
      <c r="A17" s="1" t="s">
        <v>18</v>
      </c>
      <c r="B17" s="5">
        <f t="shared" si="0"/>
        <v>1549.78</v>
      </c>
      <c r="C17" s="1">
        <v>18597.36</v>
      </c>
    </row>
    <row r="18" spans="1:3" ht="14.25" customHeight="1">
      <c r="A18" s="1" t="s">
        <v>19</v>
      </c>
      <c r="B18" s="5">
        <f t="shared" si="0"/>
        <v>150.6</v>
      </c>
      <c r="C18" s="1">
        <v>1807.2</v>
      </c>
    </row>
    <row r="19" spans="1:3" ht="14.25" customHeight="1">
      <c r="A19" s="1" t="s">
        <v>20</v>
      </c>
      <c r="B19" s="5">
        <f t="shared" si="0"/>
        <v>0</v>
      </c>
    </row>
    <row r="20" spans="1:3" ht="14.25" customHeight="1">
      <c r="A20" s="1" t="s">
        <v>21</v>
      </c>
      <c r="B20" s="5">
        <f t="shared" si="0"/>
        <v>1455.1308333333334</v>
      </c>
      <c r="C20" s="1">
        <v>17461.57</v>
      </c>
    </row>
    <row r="21" spans="1:3" ht="14.25" customHeight="1">
      <c r="A21" s="1" t="s">
        <v>22</v>
      </c>
      <c r="B21" s="5">
        <f t="shared" si="0"/>
        <v>1801.4408333333333</v>
      </c>
      <c r="C21" s="1">
        <v>21617.29</v>
      </c>
    </row>
    <row r="22" spans="1:3" ht="14.25" customHeight="1">
      <c r="A22" s="1" t="s">
        <v>23</v>
      </c>
      <c r="B22" s="5">
        <f t="shared" si="0"/>
        <v>3601.228333333333</v>
      </c>
      <c r="C22" s="1">
        <v>43214.74</v>
      </c>
    </row>
    <row r="23" spans="1:3" ht="14.25" customHeight="1">
      <c r="A23" s="1" t="s">
        <v>24</v>
      </c>
      <c r="B23" s="5"/>
    </row>
    <row r="24" spans="1:3" ht="14.25" customHeight="1">
      <c r="A24" s="1" t="s">
        <v>25</v>
      </c>
      <c r="B24" s="5">
        <f t="shared" si="0"/>
        <v>2149.0141666666664</v>
      </c>
      <c r="C24" s="1">
        <v>25788.17</v>
      </c>
    </row>
    <row r="25" spans="1:3" ht="14.25" customHeight="1">
      <c r="A25" s="1" t="s">
        <v>26</v>
      </c>
      <c r="B25" s="5"/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8757.185833333333</v>
      </c>
      <c r="C27" s="1">
        <v>105086.23</v>
      </c>
    </row>
    <row r="28" spans="1:3" ht="14.25" customHeight="1">
      <c r="A28" s="2" t="s">
        <v>10</v>
      </c>
      <c r="B28" s="5">
        <f t="shared" si="0"/>
        <v>44688.846666666657</v>
      </c>
      <c r="C28" s="2">
        <f>SUM(C13:C27)</f>
        <v>536266.15999999992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162616.65</v>
      </c>
    </row>
    <row r="31" spans="1:3" ht="67.5" customHeight="1">
      <c r="A31" s="3" t="s">
        <v>34</v>
      </c>
      <c r="C31" s="1">
        <v>174578.6</v>
      </c>
    </row>
    <row r="32" spans="1:3" ht="63.75" customHeight="1">
      <c r="A32" s="3" t="s">
        <v>35</v>
      </c>
      <c r="C32" s="1">
        <v>49139.68</v>
      </c>
    </row>
    <row r="33" spans="1:3" ht="15.75">
      <c r="A33" s="2" t="s">
        <v>101</v>
      </c>
      <c r="B33" s="2"/>
      <c r="C33" s="2">
        <v>-386334.93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37"/>
  <sheetViews>
    <sheetView topLeftCell="A28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137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-168380.6</v>
      </c>
    </row>
    <row r="9" spans="1:3" ht="53.25" customHeight="1">
      <c r="A9" s="3" t="s">
        <v>32</v>
      </c>
      <c r="B9" s="5">
        <f>C9/12</f>
        <v>35103.23333333333</v>
      </c>
      <c r="C9" s="1">
        <v>421238.8</v>
      </c>
    </row>
    <row r="10" spans="1:3" ht="46.5" customHeight="1">
      <c r="A10" s="3" t="s">
        <v>33</v>
      </c>
      <c r="B10" s="5">
        <f t="shared" ref="B10:B28" si="0">C10/12</f>
        <v>1100.0558333333333</v>
      </c>
      <c r="C10" s="1">
        <v>13200.67</v>
      </c>
    </row>
    <row r="11" spans="1:3" ht="18" customHeight="1">
      <c r="A11" s="2" t="s">
        <v>8</v>
      </c>
      <c r="B11" s="5">
        <f t="shared" si="0"/>
        <v>36203.289166666662</v>
      </c>
      <c r="C11" s="2">
        <f>SUM(C9:C10)</f>
        <v>434439.47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10126.08</v>
      </c>
      <c r="C13" s="1">
        <f>99362.16+22150.8</f>
        <v>121512.96000000001</v>
      </c>
    </row>
    <row r="14" spans="1:3" ht="81.75" customHeight="1">
      <c r="A14" s="3" t="s">
        <v>30</v>
      </c>
      <c r="B14" s="5">
        <f t="shared" si="0"/>
        <v>11125.25</v>
      </c>
      <c r="C14" s="1">
        <f>48224.63+85278.37</f>
        <v>133503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1276.75</v>
      </c>
      <c r="C16" s="1">
        <v>15321</v>
      </c>
    </row>
    <row r="17" spans="1:3" ht="14.25" customHeight="1">
      <c r="A17" s="1" t="s">
        <v>18</v>
      </c>
      <c r="B17" s="5">
        <f t="shared" si="0"/>
        <v>1377.5583333333334</v>
      </c>
      <c r="C17" s="1">
        <v>16530.7</v>
      </c>
    </row>
    <row r="18" spans="1:3" ht="14.25" customHeight="1">
      <c r="A18" s="1" t="s">
        <v>19</v>
      </c>
      <c r="B18" s="5">
        <f t="shared" si="0"/>
        <v>152</v>
      </c>
      <c r="C18" s="1">
        <v>1824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1455.1308333333334</v>
      </c>
      <c r="C20" s="1">
        <v>17461.57</v>
      </c>
    </row>
    <row r="21" spans="1:3" ht="14.25" customHeight="1">
      <c r="A21" s="1" t="s">
        <v>22</v>
      </c>
      <c r="B21" s="5">
        <f t="shared" si="0"/>
        <v>1598.5349999999999</v>
      </c>
      <c r="C21" s="1">
        <v>19182.419999999998</v>
      </c>
    </row>
    <row r="22" spans="1:3" ht="14.25" customHeight="1">
      <c r="A22" s="1" t="s">
        <v>23</v>
      </c>
      <c r="B22" s="5">
        <f t="shared" si="0"/>
        <v>3225.145</v>
      </c>
      <c r="C22" s="1">
        <v>38701.74</v>
      </c>
    </row>
    <row r="23" spans="1:3" ht="14.25" customHeight="1">
      <c r="A23" s="1" t="s">
        <v>24</v>
      </c>
      <c r="B23" s="5"/>
    </row>
    <row r="24" spans="1:3" ht="14.25" customHeight="1">
      <c r="A24" s="1" t="s">
        <v>25</v>
      </c>
      <c r="B24" s="5">
        <f t="shared" si="0"/>
        <v>1907.3333333333333</v>
      </c>
      <c r="C24" s="1">
        <v>22888</v>
      </c>
    </row>
    <row r="25" spans="1:3" ht="14.25" customHeight="1">
      <c r="A25" s="1" t="s">
        <v>26</v>
      </c>
      <c r="B25" s="5"/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7712.9775</v>
      </c>
      <c r="C27" s="1">
        <v>92555.73</v>
      </c>
    </row>
    <row r="28" spans="1:3" ht="14.25" customHeight="1">
      <c r="A28" s="2" t="s">
        <v>10</v>
      </c>
      <c r="B28" s="5">
        <f t="shared" si="0"/>
        <v>39956.76</v>
      </c>
      <c r="C28" s="2">
        <f>SUM(C13:C27)</f>
        <v>479481.12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213422.25</v>
      </c>
    </row>
    <row r="31" spans="1:3" ht="67.5" customHeight="1">
      <c r="A31" s="3" t="s">
        <v>34</v>
      </c>
      <c r="C31" s="1">
        <v>365587.1</v>
      </c>
    </row>
    <row r="32" spans="1:3" ht="63.75" customHeight="1">
      <c r="A32" s="3" t="s">
        <v>35</v>
      </c>
      <c r="C32" s="1">
        <v>44256.38</v>
      </c>
    </row>
    <row r="33" spans="1:3" ht="15.75">
      <c r="A33" s="2" t="s">
        <v>101</v>
      </c>
      <c r="B33" s="2"/>
      <c r="C33" s="2">
        <v>-623265.73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138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-116727.97</v>
      </c>
    </row>
    <row r="9" spans="1:3" ht="53.25" customHeight="1">
      <c r="A9" s="3" t="s">
        <v>32</v>
      </c>
      <c r="B9" s="5">
        <f>C9/12</f>
        <v>36937.200000000004</v>
      </c>
      <c r="C9" s="1">
        <v>443246.4</v>
      </c>
    </row>
    <row r="10" spans="1:3" ht="46.5" customHeight="1">
      <c r="A10" s="3" t="s">
        <v>33</v>
      </c>
      <c r="B10" s="5">
        <f t="shared" ref="B10:B28" si="0">C10/12</f>
        <v>882.44333333333327</v>
      </c>
      <c r="C10" s="1">
        <f>2152.32+8437</f>
        <v>10589.32</v>
      </c>
    </row>
    <row r="11" spans="1:3" ht="18" customHeight="1">
      <c r="A11" s="2" t="s">
        <v>8</v>
      </c>
      <c r="B11" s="5">
        <f t="shared" si="0"/>
        <v>37819.643333333333</v>
      </c>
      <c r="C11" s="2">
        <f>SUM(C9:C10)</f>
        <v>453835.72000000003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10032.480833333333</v>
      </c>
      <c r="C13" s="1">
        <f>98443.71+21946.06</f>
        <v>120389.77</v>
      </c>
    </row>
    <row r="14" spans="1:3" ht="81.75" customHeight="1">
      <c r="A14" s="3" t="s">
        <v>30</v>
      </c>
      <c r="B14" s="5">
        <f t="shared" si="0"/>
        <v>11756.759166666665</v>
      </c>
      <c r="C14" s="1">
        <f>47651.91+93429.2</f>
        <v>141081.10999999999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8076.583333333333</v>
      </c>
      <c r="C16" s="1">
        <v>96919</v>
      </c>
    </row>
    <row r="17" spans="1:3" ht="14.25" customHeight="1">
      <c r="A17" s="1" t="s">
        <v>18</v>
      </c>
      <c r="B17" s="5">
        <f t="shared" si="0"/>
        <v>1365.6866666666667</v>
      </c>
      <c r="C17" s="1">
        <v>16388.240000000002</v>
      </c>
    </row>
    <row r="18" spans="1:3" ht="14.25" customHeight="1">
      <c r="A18" s="1" t="s">
        <v>19</v>
      </c>
      <c r="B18" s="5">
        <f t="shared" si="0"/>
        <v>151.01</v>
      </c>
      <c r="C18" s="1">
        <v>1812.12</v>
      </c>
    </row>
    <row r="19" spans="1:3" ht="14.25" customHeight="1">
      <c r="A19" s="1" t="s">
        <v>20</v>
      </c>
      <c r="B19" s="5">
        <f t="shared" si="0"/>
        <v>0</v>
      </c>
    </row>
    <row r="20" spans="1:3" ht="14.25" customHeight="1">
      <c r="A20" s="1" t="s">
        <v>21</v>
      </c>
      <c r="B20" s="5">
        <f t="shared" si="0"/>
        <v>1455.1308333333334</v>
      </c>
      <c r="C20" s="1">
        <v>17461.57</v>
      </c>
    </row>
    <row r="21" spans="1:3" ht="14.25" customHeight="1">
      <c r="A21" s="1" t="s">
        <v>22</v>
      </c>
      <c r="B21" s="5">
        <f t="shared" si="0"/>
        <v>1690.7375</v>
      </c>
      <c r="C21" s="1">
        <v>20288.849999999999</v>
      </c>
    </row>
    <row r="22" spans="1:3" ht="14.25" customHeight="1">
      <c r="A22" s="1" t="s">
        <v>23</v>
      </c>
      <c r="B22" s="5">
        <f t="shared" si="0"/>
        <v>3195.3333333333335</v>
      </c>
      <c r="C22" s="1">
        <v>38344</v>
      </c>
    </row>
    <row r="23" spans="1:3" ht="14.25" customHeight="1">
      <c r="A23" s="1" t="s">
        <v>24</v>
      </c>
      <c r="B23" s="5">
        <f t="shared" si="0"/>
        <v>6.269166666666667</v>
      </c>
      <c r="C23" s="1">
        <v>75.23</v>
      </c>
    </row>
    <row r="24" spans="1:3" ht="14.25" customHeight="1">
      <c r="A24" s="1" t="s">
        <v>25</v>
      </c>
      <c r="B24" s="5">
        <f t="shared" si="0"/>
        <v>1992.4891666666665</v>
      </c>
      <c r="C24" s="1">
        <v>23909.87</v>
      </c>
    </row>
    <row r="25" spans="1:3" ht="14.25" customHeight="1">
      <c r="A25" s="1" t="s">
        <v>26</v>
      </c>
      <c r="B25" s="5"/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7795.0066666666671</v>
      </c>
      <c r="C27" s="1">
        <v>93540.08</v>
      </c>
    </row>
    <row r="28" spans="1:3" ht="14.25" customHeight="1">
      <c r="A28" s="2" t="s">
        <v>10</v>
      </c>
      <c r="B28" s="5">
        <f t="shared" si="0"/>
        <v>47517.486666666664</v>
      </c>
      <c r="C28" s="2">
        <f>SUM(C13:C27)</f>
        <v>570209.84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233102.09</v>
      </c>
    </row>
    <row r="31" spans="1:3" ht="67.5" customHeight="1">
      <c r="A31" s="3" t="s">
        <v>34</v>
      </c>
      <c r="C31" s="1">
        <v>190103.35</v>
      </c>
    </row>
    <row r="32" spans="1:3" ht="63.75" customHeight="1">
      <c r="A32" s="3" t="s">
        <v>35</v>
      </c>
      <c r="C32" s="1">
        <v>46983.15</v>
      </c>
    </row>
    <row r="33" spans="1:3" ht="15.75">
      <c r="A33" s="2" t="s">
        <v>101</v>
      </c>
      <c r="B33" s="2"/>
      <c r="C33" s="2">
        <v>-470188.59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37"/>
  <sheetViews>
    <sheetView topLeftCell="A27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425781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139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-137655.25</v>
      </c>
    </row>
    <row r="9" spans="1:3" ht="53.25" customHeight="1">
      <c r="A9" s="3" t="s">
        <v>32</v>
      </c>
      <c r="B9" s="5">
        <f>C9/12</f>
        <v>36438.191666666666</v>
      </c>
      <c r="C9" s="1">
        <v>437258.3</v>
      </c>
    </row>
    <row r="10" spans="1:3" ht="46.5" customHeight="1">
      <c r="A10" s="3" t="s">
        <v>33</v>
      </c>
      <c r="B10" s="5">
        <f t="shared" ref="B10:B28" si="0">C10/12</f>
        <v>1423.4750000000001</v>
      </c>
      <c r="C10" s="1">
        <f>3881.03+13200.67</f>
        <v>17081.7</v>
      </c>
    </row>
    <row r="11" spans="1:3" ht="18" customHeight="1">
      <c r="A11" s="2" t="s">
        <v>8</v>
      </c>
      <c r="B11" s="5">
        <f t="shared" si="0"/>
        <v>37861.666666666664</v>
      </c>
      <c r="C11" s="2">
        <f>SUM(C9:C10)</f>
        <v>454340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10063.584166666667</v>
      </c>
      <c r="C13" s="1">
        <f>98748.91+22014.1</f>
        <v>120763.01000000001</v>
      </c>
    </row>
    <row r="14" spans="1:3" ht="81.75" customHeight="1">
      <c r="A14" s="3" t="s">
        <v>30</v>
      </c>
      <c r="B14" s="5">
        <f t="shared" si="0"/>
        <v>11571.622499999999</v>
      </c>
      <c r="C14" s="1">
        <f>45430.27+93429.2</f>
        <v>138859.47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79.5</v>
      </c>
      <c r="C16" s="1">
        <v>954</v>
      </c>
    </row>
    <row r="17" spans="1:3" ht="14.25" customHeight="1">
      <c r="A17" s="1" t="s">
        <v>18</v>
      </c>
      <c r="B17" s="5">
        <f t="shared" si="0"/>
        <v>1380.5616666666667</v>
      </c>
      <c r="C17" s="1">
        <v>16566.740000000002</v>
      </c>
    </row>
    <row r="18" spans="1:3" ht="14.25" customHeight="1">
      <c r="A18" s="1" t="s">
        <v>19</v>
      </c>
      <c r="B18" s="5">
        <f t="shared" si="0"/>
        <v>151.01</v>
      </c>
      <c r="C18" s="1">
        <v>1812.12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1455.1308333333334</v>
      </c>
      <c r="C20" s="1">
        <v>17461.57</v>
      </c>
    </row>
    <row r="21" spans="1:3" ht="14.25" customHeight="1">
      <c r="A21" s="1" t="s">
        <v>22</v>
      </c>
      <c r="B21" s="5">
        <f t="shared" si="0"/>
        <v>1678.74</v>
      </c>
      <c r="C21" s="1">
        <v>20144.88</v>
      </c>
    </row>
    <row r="22" spans="1:3" ht="14.25" customHeight="1">
      <c r="A22" s="1" t="s">
        <v>23</v>
      </c>
      <c r="B22" s="5">
        <f t="shared" si="0"/>
        <v>3205.24</v>
      </c>
      <c r="C22" s="1">
        <v>38462.879999999997</v>
      </c>
    </row>
    <row r="23" spans="1:3" ht="14.25" customHeight="1">
      <c r="A23" s="1" t="s">
        <v>24</v>
      </c>
      <c r="B23" s="5"/>
    </row>
    <row r="24" spans="1:3" ht="14.25" customHeight="1">
      <c r="A24" s="1" t="s">
        <v>25</v>
      </c>
      <c r="B24" s="5">
        <f t="shared" si="0"/>
        <v>1994.7033333333331</v>
      </c>
      <c r="C24" s="1">
        <v>23936.44</v>
      </c>
    </row>
    <row r="25" spans="1:3" ht="14.25" customHeight="1">
      <c r="A25" s="1" t="s">
        <v>26</v>
      </c>
      <c r="B25" s="5"/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7729.5366666666669</v>
      </c>
      <c r="C27" s="1">
        <v>92754.44</v>
      </c>
    </row>
    <row r="28" spans="1:3" ht="14.25" customHeight="1">
      <c r="A28" s="2" t="s">
        <v>10</v>
      </c>
      <c r="B28" s="5">
        <f t="shared" si="0"/>
        <v>39309.629166666673</v>
      </c>
      <c r="C28" s="2">
        <f>SUM(C13:C27)</f>
        <v>471715.55000000005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155030.79999999999</v>
      </c>
    </row>
    <row r="31" spans="1:3" ht="67.5" customHeight="1">
      <c r="A31" s="3" t="s">
        <v>34</v>
      </c>
      <c r="C31" s="1">
        <v>144728.76999999999</v>
      </c>
    </row>
    <row r="32" spans="1:3" ht="63.75" customHeight="1">
      <c r="A32" s="3" t="s">
        <v>35</v>
      </c>
      <c r="C32" s="1">
        <v>77912.47</v>
      </c>
    </row>
    <row r="33" spans="1:3" ht="15.75">
      <c r="A33" s="2" t="s">
        <v>101</v>
      </c>
      <c r="B33" s="2"/>
      <c r="C33" s="2">
        <v>-377672.04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4" sqref="C34"/>
    </sheetView>
  </sheetViews>
  <sheetFormatPr defaultRowHeight="14.25" customHeight="1"/>
  <cols>
    <col min="1" max="1" width="49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141</v>
      </c>
      <c r="B2" s="1" t="s">
        <v>140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-17396.97</v>
      </c>
    </row>
    <row r="9" spans="1:3" ht="53.25" customHeight="1">
      <c r="A9" s="3" t="s">
        <v>32</v>
      </c>
      <c r="B9" s="5">
        <f>C9/12</f>
        <v>38283.426666666666</v>
      </c>
      <c r="C9" s="1">
        <v>459401.12</v>
      </c>
    </row>
    <row r="10" spans="1:3" ht="46.5" customHeight="1">
      <c r="A10" s="3" t="s">
        <v>33</v>
      </c>
      <c r="B10" s="5">
        <f t="shared" ref="B10:B28" si="0">C10/12</f>
        <v>1572.6583333333335</v>
      </c>
      <c r="C10" s="1">
        <v>18871.900000000001</v>
      </c>
    </row>
    <row r="11" spans="1:3" ht="18" customHeight="1">
      <c r="A11" s="2" t="s">
        <v>8</v>
      </c>
      <c r="B11" s="5">
        <f t="shared" si="0"/>
        <v>39856.084999999999</v>
      </c>
      <c r="C11" s="2">
        <f>SUM(C9:C10)</f>
        <v>478273.02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10043.711666666666</v>
      </c>
      <c r="C13" s="1">
        <f>98553.92+21970.62</f>
        <v>120524.54</v>
      </c>
    </row>
    <row r="14" spans="1:3" ht="81.75" customHeight="1">
      <c r="A14" s="3" t="s">
        <v>30</v>
      </c>
      <c r="B14" s="5">
        <f t="shared" si="0"/>
        <v>7927.6208333333334</v>
      </c>
      <c r="C14" s="1">
        <f>23969.78+71161.67</f>
        <v>95131.45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7630</v>
      </c>
      <c r="C16" s="1">
        <v>91560</v>
      </c>
    </row>
    <row r="17" spans="1:3" ht="14.25" customHeight="1">
      <c r="A17" s="1" t="s">
        <v>18</v>
      </c>
      <c r="B17" s="5">
        <f t="shared" si="0"/>
        <v>1466.01</v>
      </c>
      <c r="C17" s="1">
        <v>17592.12</v>
      </c>
    </row>
    <row r="18" spans="1:3" ht="14.25" customHeight="1">
      <c r="A18" s="1" t="s">
        <v>19</v>
      </c>
      <c r="B18" s="5">
        <f t="shared" si="0"/>
        <v>178.67</v>
      </c>
      <c r="C18" s="1">
        <v>2144.04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745.98500000000001</v>
      </c>
      <c r="C20" s="1">
        <v>8951.82</v>
      </c>
    </row>
    <row r="21" spans="1:3" ht="14.25" customHeight="1">
      <c r="A21" s="1" t="s">
        <v>22</v>
      </c>
      <c r="B21" s="5">
        <f t="shared" si="0"/>
        <v>1762.6683333333333</v>
      </c>
      <c r="C21" s="1">
        <v>21152.02</v>
      </c>
    </row>
    <row r="22" spans="1:3" ht="14.25" customHeight="1">
      <c r="A22" s="1" t="s">
        <v>23</v>
      </c>
      <c r="B22" s="5">
        <f t="shared" si="0"/>
        <v>3198.9108333333334</v>
      </c>
      <c r="C22" s="1">
        <v>38386.93</v>
      </c>
    </row>
    <row r="23" spans="1:3" ht="14.25" customHeight="1">
      <c r="A23" s="1" t="s">
        <v>24</v>
      </c>
      <c r="B23" s="5">
        <f t="shared" si="0"/>
        <v>505.12833333333333</v>
      </c>
      <c r="C23" s="1">
        <v>6061.54</v>
      </c>
    </row>
    <row r="24" spans="1:3" ht="14.25" customHeight="1">
      <c r="A24" s="1" t="s">
        <v>25</v>
      </c>
      <c r="B24" s="5">
        <f t="shared" si="0"/>
        <v>2099.7775000000001</v>
      </c>
      <c r="C24" s="1">
        <v>25197.33</v>
      </c>
    </row>
    <row r="25" spans="1:3" ht="14.25" customHeight="1">
      <c r="A25" s="1" t="s">
        <v>26</v>
      </c>
      <c r="B25" s="5">
        <f t="shared" si="0"/>
        <v>239.77083333333334</v>
      </c>
      <c r="C25" s="1">
        <v>2877.25</v>
      </c>
    </row>
    <row r="26" spans="1:3" ht="14.25" customHeight="1">
      <c r="A26" s="1" t="s">
        <v>27</v>
      </c>
      <c r="B26" s="5">
        <f t="shared" si="0"/>
        <v>791.66666666666663</v>
      </c>
      <c r="C26" s="1">
        <v>9500</v>
      </c>
    </row>
    <row r="27" spans="1:3" ht="14.25" customHeight="1">
      <c r="A27" s="1" t="s">
        <v>28</v>
      </c>
      <c r="B27" s="5">
        <f t="shared" si="0"/>
        <v>8206.4225000000006</v>
      </c>
      <c r="C27" s="1">
        <v>98477.07</v>
      </c>
    </row>
    <row r="28" spans="1:3" ht="14.25" customHeight="1">
      <c r="A28" s="2" t="s">
        <v>10</v>
      </c>
      <c r="B28" s="5">
        <f t="shared" si="0"/>
        <v>44796.342499999999</v>
      </c>
      <c r="C28" s="2">
        <f>SUM(C13:C27)</f>
        <v>537556.11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76680.06</v>
      </c>
    </row>
    <row r="31" spans="1:3" ht="67.5" customHeight="1">
      <c r="A31" s="3" t="s">
        <v>34</v>
      </c>
      <c r="C31" s="1">
        <v>185067.85</v>
      </c>
    </row>
    <row r="32" spans="1:3" ht="63.75" customHeight="1">
      <c r="A32" s="3" t="s">
        <v>35</v>
      </c>
      <c r="C32" s="1">
        <v>26893.47</v>
      </c>
    </row>
    <row r="33" spans="1:3" ht="15.75">
      <c r="A33" s="2" t="s">
        <v>101</v>
      </c>
      <c r="B33" s="2"/>
      <c r="C33" s="2">
        <v>-288641.38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C37"/>
  <sheetViews>
    <sheetView topLeftCell="A21" workbookViewId="0">
      <selection activeCell="B12" sqref="B12"/>
    </sheetView>
  </sheetViews>
  <sheetFormatPr defaultRowHeight="14.25" customHeight="1"/>
  <cols>
    <col min="1" max="1" width="50.42578125" style="1" customWidth="1"/>
    <col min="2" max="2" width="16.57031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142</v>
      </c>
      <c r="B2" s="1" t="s">
        <v>140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-22734.79</v>
      </c>
    </row>
    <row r="9" spans="1:3" ht="53.25" customHeight="1">
      <c r="A9" s="3" t="s">
        <v>32</v>
      </c>
      <c r="B9" s="5">
        <f>C9/12</f>
        <v>57539.191666666673</v>
      </c>
      <c r="C9" s="1">
        <v>690470.3</v>
      </c>
    </row>
    <row r="10" spans="1:3" ht="46.5" customHeight="1">
      <c r="A10" s="3" t="s">
        <v>33</v>
      </c>
      <c r="B10" s="5">
        <f t="shared" ref="B10:B28" si="0">C10/12</f>
        <v>1926.6775</v>
      </c>
      <c r="C10" s="1">
        <v>23120.13</v>
      </c>
    </row>
    <row r="11" spans="1:3" ht="18" customHeight="1">
      <c r="A11" s="2" t="s">
        <v>8</v>
      </c>
      <c r="B11" s="5">
        <f t="shared" si="0"/>
        <v>59465.869166666671</v>
      </c>
      <c r="C11" s="2">
        <f>SUM(C9:C10)</f>
        <v>713590.43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14609.952499999999</v>
      </c>
      <c r="C13" s="1">
        <f>143360.15+31959.28</f>
        <v>175319.43</v>
      </c>
    </row>
    <row r="14" spans="1:3" ht="81.75" customHeight="1">
      <c r="A14" s="3" t="s">
        <v>30</v>
      </c>
      <c r="B14" s="5">
        <f t="shared" si="0"/>
        <v>14199.112500000001</v>
      </c>
      <c r="C14" s="1">
        <f>44136.78+126252.57</f>
        <v>170389.35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1765.4166666666667</v>
      </c>
      <c r="C16" s="1">
        <v>21185</v>
      </c>
    </row>
    <row r="17" spans="1:3" ht="14.25" customHeight="1">
      <c r="A17" s="1" t="s">
        <v>18</v>
      </c>
      <c r="B17" s="5">
        <f t="shared" si="0"/>
        <v>2104.7883333333334</v>
      </c>
      <c r="C17" s="1">
        <v>25257.46</v>
      </c>
    </row>
    <row r="18" spans="1:3" ht="14.25" customHeight="1">
      <c r="A18" s="1" t="s">
        <v>19</v>
      </c>
      <c r="B18" s="5">
        <f t="shared" si="0"/>
        <v>199.01999999999998</v>
      </c>
      <c r="C18" s="1">
        <v>2388.2399999999998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911.75916666666672</v>
      </c>
      <c r="C20" s="1">
        <v>10941.11</v>
      </c>
    </row>
    <row r="21" spans="1:3" ht="14.25" customHeight="1">
      <c r="A21" s="1" t="s">
        <v>22</v>
      </c>
      <c r="B21" s="5">
        <f t="shared" si="0"/>
        <v>2639.1224999999999</v>
      </c>
      <c r="C21" s="1">
        <v>31669.47</v>
      </c>
    </row>
    <row r="22" spans="1:3" ht="14.25" customHeight="1">
      <c r="A22" s="1" t="s">
        <v>23</v>
      </c>
      <c r="B22" s="5">
        <f t="shared" si="0"/>
        <v>4653.2524999999996</v>
      </c>
      <c r="C22" s="1">
        <v>55839.03</v>
      </c>
    </row>
    <row r="23" spans="1:3" ht="14.25" customHeight="1">
      <c r="A23" s="1" t="s">
        <v>24</v>
      </c>
      <c r="B23" s="5">
        <f t="shared" si="0"/>
        <v>669.0716666666666</v>
      </c>
      <c r="C23" s="1">
        <v>8028.86</v>
      </c>
    </row>
    <row r="24" spans="1:3" ht="14.25" customHeight="1">
      <c r="A24" s="1" t="s">
        <v>25</v>
      </c>
      <c r="B24" s="5">
        <f t="shared" si="0"/>
        <v>3132.8991666666666</v>
      </c>
      <c r="C24" s="1">
        <v>37594.79</v>
      </c>
    </row>
    <row r="25" spans="1:3" ht="14.25" customHeight="1">
      <c r="A25" s="1" t="s">
        <v>26</v>
      </c>
      <c r="B25" s="5">
        <f t="shared" si="0"/>
        <v>289.45833333333331</v>
      </c>
      <c r="C25" s="1">
        <v>3473.5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11784.345833333333</v>
      </c>
      <c r="C27" s="1">
        <v>141412.15</v>
      </c>
    </row>
    <row r="28" spans="1:3" ht="14.25" customHeight="1">
      <c r="A28" s="2" t="s">
        <v>10</v>
      </c>
      <c r="B28" s="5">
        <f t="shared" si="0"/>
        <v>56958.19916666668</v>
      </c>
      <c r="C28" s="2">
        <f>SUM(C13:C27)</f>
        <v>683498.39000000013</v>
      </c>
    </row>
    <row r="29" spans="1:3" ht="24.75" customHeight="1">
      <c r="A29" s="2" t="s">
        <v>11</v>
      </c>
      <c r="C29" s="2">
        <v>7357.25</v>
      </c>
    </row>
    <row r="30" spans="1:3" ht="32.25" customHeight="1">
      <c r="A30" s="2" t="s">
        <v>12</v>
      </c>
      <c r="C30" s="2"/>
    </row>
    <row r="31" spans="1:3" ht="67.5" customHeight="1">
      <c r="A31" s="3" t="s">
        <v>34</v>
      </c>
      <c r="C31" s="1">
        <v>110672.08</v>
      </c>
    </row>
    <row r="32" spans="1:3" ht="63.75" customHeight="1">
      <c r="A32" s="3" t="s">
        <v>35</v>
      </c>
      <c r="C32" s="1">
        <v>20007.52</v>
      </c>
    </row>
    <row r="33" spans="1:3" ht="15.75">
      <c r="A33" s="2" t="s">
        <v>101</v>
      </c>
      <c r="B33" s="2"/>
      <c r="C33" s="2">
        <v>-123322.35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A3" sqref="A3"/>
    </sheetView>
  </sheetViews>
  <sheetFormatPr defaultRowHeight="14.25" customHeight="1"/>
  <cols>
    <col min="1" max="1" width="53.4257812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149</v>
      </c>
      <c r="B2" s="1" t="s">
        <v>140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-14070.45</v>
      </c>
    </row>
    <row r="9" spans="1:3" ht="53.25" customHeight="1">
      <c r="A9" s="3" t="s">
        <v>32</v>
      </c>
      <c r="B9" s="5">
        <f>C9/12</f>
        <v>40106.174999999996</v>
      </c>
      <c r="C9" s="1">
        <v>481274.1</v>
      </c>
    </row>
    <row r="10" spans="1:3" ht="46.5" customHeight="1">
      <c r="A10" s="3" t="s">
        <v>33</v>
      </c>
      <c r="B10" s="5">
        <f t="shared" ref="B10:B28" si="0">C10/12</f>
        <v>1252.1025</v>
      </c>
      <c r="C10" s="1">
        <v>15025.23</v>
      </c>
    </row>
    <row r="11" spans="1:3" ht="18" customHeight="1">
      <c r="A11" s="2" t="s">
        <v>8</v>
      </c>
      <c r="B11" s="5">
        <f t="shared" si="0"/>
        <v>41358.277499999997</v>
      </c>
      <c r="C11" s="2">
        <f>SUM(C9:C10)</f>
        <v>496299.32999999996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10839.168333333333</v>
      </c>
      <c r="C13" s="1">
        <f>106359.34+23710.68</f>
        <v>130070.01999999999</v>
      </c>
    </row>
    <row r="14" spans="1:3" ht="81.75" customHeight="1">
      <c r="A14" s="3" t="s">
        <v>30</v>
      </c>
      <c r="B14" s="5">
        <f t="shared" si="0"/>
        <v>7924.7366666666667</v>
      </c>
      <c r="C14" s="1">
        <f>46595.41+48501.43</f>
        <v>95096.84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652.83333333333337</v>
      </c>
      <c r="C16" s="1">
        <v>7834</v>
      </c>
    </row>
    <row r="17" spans="1:3" ht="14.25" customHeight="1">
      <c r="A17" s="1" t="s">
        <v>18</v>
      </c>
      <c r="B17" s="5">
        <f t="shared" si="0"/>
        <v>1493.45</v>
      </c>
      <c r="C17" s="1">
        <v>17921.400000000001</v>
      </c>
    </row>
    <row r="18" spans="1:3" ht="14.25" customHeight="1">
      <c r="A18" s="1" t="s">
        <v>19</v>
      </c>
      <c r="B18" s="5">
        <f t="shared" si="0"/>
        <v>157.47999999999999</v>
      </c>
      <c r="C18" s="1">
        <v>1889.76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1105.1625000000001</v>
      </c>
      <c r="C20" s="1">
        <v>13261.95</v>
      </c>
    </row>
    <row r="21" spans="1:3" ht="14.25" customHeight="1">
      <c r="A21" s="1" t="s">
        <v>22</v>
      </c>
      <c r="B21" s="5">
        <f t="shared" si="0"/>
        <v>1839.6441666666667</v>
      </c>
      <c r="C21" s="1">
        <v>22075.73</v>
      </c>
    </row>
    <row r="22" spans="1:3" ht="14.25" customHeight="1">
      <c r="A22" s="1" t="s">
        <v>23</v>
      </c>
      <c r="B22" s="5">
        <f t="shared" si="0"/>
        <v>3452.2625000000003</v>
      </c>
      <c r="C22" s="1">
        <v>41427.15</v>
      </c>
    </row>
    <row r="23" spans="1:3" ht="14.25" customHeight="1">
      <c r="A23" s="1" t="s">
        <v>24</v>
      </c>
      <c r="B23" s="5">
        <f t="shared" si="0"/>
        <v>1029.04</v>
      </c>
      <c r="C23" s="1">
        <v>12348.48</v>
      </c>
    </row>
    <row r="24" spans="1:3" ht="14.25" customHeight="1">
      <c r="A24" s="1" t="s">
        <v>25</v>
      </c>
      <c r="B24" s="5">
        <f t="shared" si="0"/>
        <v>2178.9191666666666</v>
      </c>
      <c r="C24" s="1">
        <v>26147.03</v>
      </c>
    </row>
    <row r="25" spans="1:3" ht="14.25" customHeight="1">
      <c r="A25" s="1" t="s">
        <v>26</v>
      </c>
      <c r="B25" s="5">
        <f t="shared" si="0"/>
        <v>170.8175</v>
      </c>
      <c r="C25" s="1">
        <v>2049.81</v>
      </c>
    </row>
    <row r="26" spans="1:3" ht="14.25" customHeight="1">
      <c r="A26" s="1" t="s">
        <v>27</v>
      </c>
      <c r="B26" s="5">
        <f t="shared" si="0"/>
        <v>262.5</v>
      </c>
      <c r="C26" s="1">
        <v>3150</v>
      </c>
    </row>
    <row r="27" spans="1:3" ht="14.25" customHeight="1">
      <c r="A27" s="1" t="s">
        <v>28</v>
      </c>
      <c r="B27" s="5">
        <f t="shared" si="0"/>
        <v>8385.51</v>
      </c>
      <c r="C27" s="1">
        <v>100626.12</v>
      </c>
    </row>
    <row r="28" spans="1:3" ht="14.25" customHeight="1">
      <c r="A28" s="2" t="s">
        <v>10</v>
      </c>
      <c r="B28" s="5">
        <f t="shared" si="0"/>
        <v>39491.524166666662</v>
      </c>
      <c r="C28" s="2">
        <f>SUM(C13:C27)</f>
        <v>473898.29</v>
      </c>
    </row>
    <row r="29" spans="1:3" ht="24.75" customHeight="1">
      <c r="A29" s="2" t="s">
        <v>11</v>
      </c>
      <c r="C29" s="2">
        <v>8330.59</v>
      </c>
    </row>
    <row r="30" spans="1:3" ht="32.25" customHeight="1">
      <c r="A30" s="2" t="s">
        <v>12</v>
      </c>
      <c r="C30" s="2"/>
    </row>
    <row r="31" spans="1:3" ht="67.5" customHeight="1">
      <c r="A31" s="3" t="s">
        <v>34</v>
      </c>
      <c r="C31" s="1">
        <v>187410.87</v>
      </c>
    </row>
    <row r="32" spans="1:3" ht="63.75" customHeight="1">
      <c r="A32" s="3" t="s">
        <v>35</v>
      </c>
      <c r="C32" s="1">
        <v>13266.41</v>
      </c>
    </row>
    <row r="33" spans="1:3" ht="15.75">
      <c r="A33" s="2" t="s">
        <v>101</v>
      </c>
      <c r="B33" s="2"/>
      <c r="C33" s="2">
        <v>-192346.69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topLeftCell="A19" workbookViewId="0">
      <selection activeCell="C33" sqref="C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47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-33933.94</v>
      </c>
    </row>
    <row r="9" spans="1:3" ht="53.25" customHeight="1">
      <c r="A9" s="3" t="s">
        <v>32</v>
      </c>
      <c r="B9" s="5">
        <f>C9/12</f>
        <v>39989.875</v>
      </c>
      <c r="C9" s="1">
        <v>479878.5</v>
      </c>
    </row>
    <row r="10" spans="1:3" ht="46.5" customHeight="1">
      <c r="A10" s="3" t="s">
        <v>33</v>
      </c>
      <c r="B10" s="5">
        <f t="shared" ref="B10:B28" si="0">C10/12</f>
        <v>898.08333333333337</v>
      </c>
      <c r="C10" s="1">
        <v>10777</v>
      </c>
    </row>
    <row r="11" spans="1:3" ht="18" customHeight="1">
      <c r="A11" s="2" t="s">
        <v>8</v>
      </c>
      <c r="B11" s="5">
        <f t="shared" si="0"/>
        <v>40887.958333333336</v>
      </c>
      <c r="C11" s="2">
        <f>SUM(C9:C10)</f>
        <v>490655.5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9872.9291666666668</v>
      </c>
      <c r="C13" s="1">
        <f>96878.11+21597.04</f>
        <v>118475.15</v>
      </c>
    </row>
    <row r="14" spans="1:3" ht="81.75" customHeight="1">
      <c r="A14" s="3" t="s">
        <v>30</v>
      </c>
      <c r="B14" s="5">
        <f t="shared" si="0"/>
        <v>7059.7425000000003</v>
      </c>
      <c r="C14" s="1">
        <f>22808.94+61907.97</f>
        <v>84716.91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1853</v>
      </c>
      <c r="C16" s="1">
        <v>22236</v>
      </c>
    </row>
    <row r="17" spans="1:3" ht="14.25" customHeight="1">
      <c r="A17" s="1" t="s">
        <v>18</v>
      </c>
      <c r="B17" s="5">
        <f t="shared" si="0"/>
        <v>1455.0483333333334</v>
      </c>
      <c r="C17" s="1">
        <v>17460.580000000002</v>
      </c>
    </row>
    <row r="18" spans="1:3" ht="14.25" customHeight="1">
      <c r="A18" s="1" t="s">
        <v>19</v>
      </c>
      <c r="B18" s="5">
        <f t="shared" si="0"/>
        <v>394.47666666666669</v>
      </c>
      <c r="C18" s="1">
        <v>4733.72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745.98500000000001</v>
      </c>
      <c r="C20" s="1">
        <v>8951.82</v>
      </c>
    </row>
    <row r="21" spans="1:3" ht="14.25" customHeight="1">
      <c r="A21" s="1" t="s">
        <v>22</v>
      </c>
      <c r="B21" s="5">
        <f t="shared" si="0"/>
        <v>1816.4716666666666</v>
      </c>
      <c r="C21" s="1">
        <v>21797.66</v>
      </c>
    </row>
    <row r="22" spans="1:3" ht="14.25" customHeight="1">
      <c r="A22" s="1" t="s">
        <v>23</v>
      </c>
      <c r="B22" s="5">
        <f t="shared" si="0"/>
        <v>3144.5158333333334</v>
      </c>
      <c r="C22" s="1">
        <v>37734.19</v>
      </c>
    </row>
    <row r="23" spans="1:3" ht="14.25" customHeight="1">
      <c r="A23" s="1" t="s">
        <v>24</v>
      </c>
      <c r="B23" s="5">
        <f t="shared" si="0"/>
        <v>502.0333333333333</v>
      </c>
      <c r="C23" s="1">
        <v>6024.4</v>
      </c>
    </row>
    <row r="24" spans="1:3" ht="14.25" customHeight="1">
      <c r="A24" s="1" t="s">
        <v>25</v>
      </c>
      <c r="B24" s="5">
        <f t="shared" si="0"/>
        <v>2154.14</v>
      </c>
      <c r="C24" s="1">
        <v>25849.68</v>
      </c>
    </row>
    <row r="25" spans="1:3" ht="14.25" customHeight="1">
      <c r="A25" s="1" t="s">
        <v>26</v>
      </c>
      <c r="B25" s="5">
        <f t="shared" si="0"/>
        <v>224.64916666666667</v>
      </c>
      <c r="C25" s="1">
        <v>2695.79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8144.0099999999993</v>
      </c>
      <c r="C27" s="1">
        <v>97728.12</v>
      </c>
    </row>
    <row r="28" spans="1:3" ht="14.25" customHeight="1">
      <c r="A28" s="2" t="s">
        <v>10</v>
      </c>
      <c r="B28" s="5">
        <f t="shared" si="0"/>
        <v>37367.001666666671</v>
      </c>
      <c r="C28" s="2">
        <f>SUM(C13:C27)</f>
        <v>448404.02</v>
      </c>
    </row>
    <row r="29" spans="1:3" ht="14.25" customHeight="1">
      <c r="A29" s="2" t="s">
        <v>11</v>
      </c>
      <c r="C29" s="2">
        <v>8317.5400000000009</v>
      </c>
    </row>
    <row r="30" spans="1:3" ht="21.75" customHeight="1">
      <c r="A30" s="2" t="s">
        <v>12</v>
      </c>
    </row>
    <row r="31" spans="1:3" ht="54" customHeight="1">
      <c r="A31" s="3" t="s">
        <v>48</v>
      </c>
      <c r="C31" s="1">
        <v>33497.08</v>
      </c>
    </row>
    <row r="32" spans="1:3" ht="59.25" customHeight="1">
      <c r="A32" s="3" t="s">
        <v>58</v>
      </c>
      <c r="C32" s="1">
        <v>12789.63</v>
      </c>
    </row>
    <row r="33" spans="1:3" ht="15.75">
      <c r="A33" s="2" t="s">
        <v>101</v>
      </c>
      <c r="C33" s="2">
        <v>-37969.17</v>
      </c>
    </row>
    <row r="34" spans="1:3" ht="30.75" customHeight="1">
      <c r="A34" s="1" t="s">
        <v>16</v>
      </c>
    </row>
    <row r="35" spans="1:3" ht="22.5" customHeight="1">
      <c r="A35" s="1" t="s">
        <v>13</v>
      </c>
    </row>
    <row r="36" spans="1:3" ht="24.75" customHeight="1">
      <c r="A36" s="1" t="s">
        <v>14</v>
      </c>
    </row>
    <row r="37" spans="1:3" ht="27.75" customHeight="1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4" sqref="C34"/>
    </sheetView>
  </sheetViews>
  <sheetFormatPr defaultColWidth="56.140625" defaultRowHeight="14.25" customHeight="1"/>
  <cols>
    <col min="1" max="1" width="47" style="1" customWidth="1"/>
    <col min="2" max="2" width="17.140625" style="1" customWidth="1"/>
    <col min="3" max="3" width="15.42578125" style="1" customWidth="1"/>
    <col min="4" max="16384" width="56.140625" style="1"/>
  </cols>
  <sheetData>
    <row r="1" spans="1:3" ht="14.25" customHeight="1">
      <c r="A1" s="1" t="s">
        <v>0</v>
      </c>
    </row>
    <row r="2" spans="1:3" ht="14.25" customHeight="1">
      <c r="A2" s="1" t="s">
        <v>143</v>
      </c>
      <c r="B2" s="1" t="s">
        <v>140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-35588.910000000003</v>
      </c>
    </row>
    <row r="9" spans="1:3" ht="53.25" customHeight="1">
      <c r="A9" s="3" t="s">
        <v>32</v>
      </c>
      <c r="B9" s="5">
        <f>C9/12</f>
        <v>40481.366666666669</v>
      </c>
      <c r="C9" s="1">
        <v>485776.4</v>
      </c>
    </row>
    <row r="10" spans="1:3" ht="46.5" customHeight="1">
      <c r="A10" s="3" t="s">
        <v>33</v>
      </c>
      <c r="B10" s="5">
        <f t="shared" ref="B10:B28" si="0">C10/12</f>
        <v>1649.075</v>
      </c>
      <c r="C10" s="1">
        <v>19788.900000000001</v>
      </c>
    </row>
    <row r="11" spans="1:3" ht="18" customHeight="1">
      <c r="A11" s="2" t="s">
        <v>8</v>
      </c>
      <c r="B11" s="5">
        <f t="shared" si="0"/>
        <v>42130.441666666673</v>
      </c>
      <c r="C11" s="2">
        <f>SUM(C9:C10)</f>
        <v>505565.30000000005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10770.623333333335</v>
      </c>
      <c r="C13" s="1">
        <f>105686.74+23560.74</f>
        <v>129247.48000000001</v>
      </c>
    </row>
    <row r="14" spans="1:3" ht="81.75" customHeight="1">
      <c r="A14" s="3" t="s">
        <v>30</v>
      </c>
      <c r="B14" s="5">
        <f t="shared" si="0"/>
        <v>9942.711666666668</v>
      </c>
      <c r="C14" s="1">
        <f>44689.71+74622.83</f>
        <v>119312.54000000001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1268.8333333333333</v>
      </c>
      <c r="C16" s="1">
        <v>15226</v>
      </c>
    </row>
    <row r="17" spans="1:3" ht="14.25" customHeight="1">
      <c r="A17" s="1" t="s">
        <v>18</v>
      </c>
      <c r="B17" s="5">
        <f t="shared" si="0"/>
        <v>1495.6766666666665</v>
      </c>
      <c r="C17" s="1">
        <v>17948.12</v>
      </c>
    </row>
    <row r="18" spans="1:3" ht="14.25" customHeight="1">
      <c r="A18" s="1" t="s">
        <v>19</v>
      </c>
      <c r="B18" s="5">
        <f t="shared" si="0"/>
        <v>158.09</v>
      </c>
      <c r="C18" s="1">
        <v>1897.08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1105.1625000000001</v>
      </c>
      <c r="C20" s="1">
        <v>13261.95</v>
      </c>
    </row>
    <row r="21" spans="1:3" ht="14.25" customHeight="1">
      <c r="A21" s="1" t="s">
        <v>22</v>
      </c>
      <c r="B21" s="5">
        <f t="shared" si="0"/>
        <v>1856.6916666666666</v>
      </c>
      <c r="C21" s="1">
        <v>22280.3</v>
      </c>
    </row>
    <row r="22" spans="1:3" ht="14.25" customHeight="1">
      <c r="A22" s="1" t="s">
        <v>23</v>
      </c>
      <c r="B22" s="5">
        <f t="shared" si="0"/>
        <v>3430.4316666666668</v>
      </c>
      <c r="C22" s="1">
        <v>41165.18</v>
      </c>
    </row>
    <row r="23" spans="1:3" ht="14.25" customHeight="1">
      <c r="A23" s="1" t="s">
        <v>24</v>
      </c>
      <c r="B23" s="5">
        <f t="shared" si="0"/>
        <v>804.12249999999995</v>
      </c>
      <c r="C23" s="1">
        <v>9649.4699999999993</v>
      </c>
    </row>
    <row r="24" spans="1:3" ht="14.25" customHeight="1">
      <c r="A24" s="1" t="s">
        <v>25</v>
      </c>
      <c r="B24" s="5">
        <f t="shared" si="0"/>
        <v>2219.5991666666664</v>
      </c>
      <c r="C24" s="1">
        <v>26635.19</v>
      </c>
    </row>
    <row r="25" spans="1:3" ht="14.25" customHeight="1">
      <c r="A25" s="1" t="s">
        <v>26</v>
      </c>
      <c r="B25" s="5">
        <f t="shared" si="0"/>
        <v>170.8175</v>
      </c>
      <c r="C25" s="1">
        <v>2049.81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8374.0466666666671</v>
      </c>
      <c r="C27" s="1">
        <v>100488.56</v>
      </c>
    </row>
    <row r="28" spans="1:3" ht="14.25" customHeight="1">
      <c r="A28" s="2" t="s">
        <v>10</v>
      </c>
      <c r="B28" s="5">
        <f t="shared" si="0"/>
        <v>41596.806666666664</v>
      </c>
      <c r="C28" s="2">
        <f>SUM(C13:C27)</f>
        <v>499161.68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29185.29</v>
      </c>
    </row>
    <row r="31" spans="1:3" ht="67.5" customHeight="1">
      <c r="A31" s="3" t="s">
        <v>34</v>
      </c>
      <c r="C31" s="1">
        <v>99225.4</v>
      </c>
    </row>
    <row r="32" spans="1:3" ht="63.75" customHeight="1">
      <c r="A32" s="3" t="s">
        <v>35</v>
      </c>
      <c r="C32" s="1">
        <v>7181.9</v>
      </c>
    </row>
    <row r="33" spans="1:3" ht="15.75">
      <c r="A33" s="2" t="s">
        <v>101</v>
      </c>
      <c r="B33" s="2"/>
      <c r="C33" s="2">
        <v>-135592.59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C37"/>
  <sheetViews>
    <sheetView topLeftCell="A26" workbookViewId="0">
      <selection activeCell="C34" sqref="C34"/>
    </sheetView>
  </sheetViews>
  <sheetFormatPr defaultRowHeight="14.25" customHeight="1"/>
  <cols>
    <col min="1" max="1" width="51.14062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144</v>
      </c>
      <c r="B2" s="1" t="s">
        <v>140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-19036.599999999999</v>
      </c>
    </row>
    <row r="9" spans="1:3" ht="53.25" customHeight="1">
      <c r="A9" s="3" t="s">
        <v>32</v>
      </c>
      <c r="B9" s="5">
        <f>C9/12</f>
        <v>47174.591666666667</v>
      </c>
      <c r="C9" s="1">
        <v>566095.1</v>
      </c>
    </row>
    <row r="10" spans="1:3" ht="46.5" customHeight="1">
      <c r="A10" s="3" t="s">
        <v>33</v>
      </c>
      <c r="B10" s="5">
        <f t="shared" ref="B10:B28" si="0">C10/12</f>
        <v>10999.480000000001</v>
      </c>
      <c r="C10" s="1">
        <f>112720.3+19273.46</f>
        <v>131993.76</v>
      </c>
    </row>
    <row r="11" spans="1:3" ht="18" customHeight="1">
      <c r="A11" s="2" t="s">
        <v>8</v>
      </c>
      <c r="B11" s="5">
        <f t="shared" si="0"/>
        <v>58174.071666666663</v>
      </c>
      <c r="C11" s="2">
        <f>SUM(C9:C10)</f>
        <v>698088.86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15401.377500000001</v>
      </c>
      <c r="C13" s="1">
        <f>151126.01+33690.52</f>
        <v>184816.53</v>
      </c>
    </row>
    <row r="14" spans="1:3" ht="81.75" customHeight="1">
      <c r="A14" s="3" t="s">
        <v>30</v>
      </c>
      <c r="B14" s="5">
        <f t="shared" si="0"/>
        <v>14322.152500000002</v>
      </c>
      <c r="C14" s="1">
        <f>39673.73+132192.1</f>
        <v>171865.83000000002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8391</v>
      </c>
      <c r="C16" s="1">
        <v>100692</v>
      </c>
    </row>
    <row r="17" spans="1:3" ht="14.25" customHeight="1">
      <c r="A17" s="1" t="s">
        <v>18</v>
      </c>
      <c r="B17" s="5">
        <f t="shared" si="0"/>
        <v>2173.4933333333333</v>
      </c>
      <c r="C17" s="1">
        <v>26081.919999999998</v>
      </c>
    </row>
    <row r="18" spans="1:3" ht="14.25" customHeight="1">
      <c r="A18" s="1" t="s">
        <v>19</v>
      </c>
      <c r="B18" s="5">
        <f t="shared" si="0"/>
        <v>174.51</v>
      </c>
      <c r="C18" s="1">
        <v>2094.12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884.13</v>
      </c>
      <c r="C20" s="1">
        <v>10609.56</v>
      </c>
    </row>
    <row r="21" spans="1:3" ht="14.25" customHeight="1">
      <c r="A21" s="1" t="s">
        <v>22</v>
      </c>
      <c r="B21" s="5">
        <f t="shared" si="0"/>
        <v>2584.8266666666664</v>
      </c>
      <c r="C21" s="1">
        <v>31017.919999999998</v>
      </c>
    </row>
    <row r="22" spans="1:3" ht="14.25" customHeight="1">
      <c r="A22" s="1" t="s">
        <v>23</v>
      </c>
      <c r="B22" s="5">
        <f t="shared" si="0"/>
        <v>4905.3208333333332</v>
      </c>
      <c r="C22" s="1">
        <v>58863.85</v>
      </c>
    </row>
    <row r="23" spans="1:3" ht="14.25" customHeight="1">
      <c r="A23" s="1" t="s">
        <v>24</v>
      </c>
      <c r="B23" s="5">
        <f t="shared" si="0"/>
        <v>608.2166666666667</v>
      </c>
      <c r="C23" s="1">
        <v>7298.6</v>
      </c>
    </row>
    <row r="24" spans="1:3" ht="14.25" customHeight="1">
      <c r="A24" s="1" t="s">
        <v>25</v>
      </c>
      <c r="B24" s="5">
        <f t="shared" si="0"/>
        <v>3064.8416666666667</v>
      </c>
      <c r="C24" s="1">
        <v>36778.1</v>
      </c>
    </row>
    <row r="25" spans="1:3" ht="14.25" customHeight="1">
      <c r="A25" s="1" t="s">
        <v>26</v>
      </c>
      <c r="B25" s="5">
        <f t="shared" si="0"/>
        <v>297.24083333333334</v>
      </c>
      <c r="C25" s="1">
        <v>3566.89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12599.536666666667</v>
      </c>
      <c r="C27" s="1">
        <v>151194.44</v>
      </c>
    </row>
    <row r="28" spans="1:3" ht="14.25" customHeight="1">
      <c r="A28" s="2" t="s">
        <v>10</v>
      </c>
      <c r="B28" s="5">
        <f t="shared" si="0"/>
        <v>65406.646666666667</v>
      </c>
      <c r="C28" s="2">
        <f>SUM(C13:C27)</f>
        <v>784879.76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105827.5</v>
      </c>
    </row>
    <row r="31" spans="1:3" ht="67.5" customHeight="1">
      <c r="A31" s="3" t="s">
        <v>34</v>
      </c>
      <c r="C31" s="1">
        <v>135303.32</v>
      </c>
    </row>
    <row r="32" spans="1:3" ht="63.75" customHeight="1">
      <c r="A32" s="3" t="s">
        <v>35</v>
      </c>
      <c r="C32" s="1">
        <v>40475.11</v>
      </c>
    </row>
    <row r="33" spans="1:3" ht="15.75">
      <c r="A33" s="2" t="s">
        <v>101</v>
      </c>
      <c r="B33" s="2"/>
      <c r="C33" s="2">
        <v>-281605.93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C37"/>
  <sheetViews>
    <sheetView tabSelected="1" topLeftCell="A25" workbookViewId="0">
      <selection activeCell="C34" sqref="C34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145</v>
      </c>
      <c r="B2" s="1" t="s">
        <v>140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41799.17</v>
      </c>
    </row>
    <row r="9" spans="1:3" ht="53.25" customHeight="1">
      <c r="A9" s="3" t="s">
        <v>32</v>
      </c>
      <c r="B9" s="5">
        <f>C9/12</f>
        <v>38913.549999999996</v>
      </c>
      <c r="C9" s="1">
        <v>466962.6</v>
      </c>
    </row>
    <row r="10" spans="1:3" ht="46.5" customHeight="1">
      <c r="A10" s="3" t="s">
        <v>33</v>
      </c>
      <c r="B10" s="5">
        <f t="shared" ref="B10:B28" si="0">C10/12</f>
        <v>1962.4083333333335</v>
      </c>
      <c r="C10" s="1">
        <v>23548.9</v>
      </c>
    </row>
    <row r="11" spans="1:3" ht="18" customHeight="1">
      <c r="A11" s="2" t="s">
        <v>8</v>
      </c>
      <c r="B11" s="5">
        <f t="shared" si="0"/>
        <v>40875.958333333336</v>
      </c>
      <c r="C11" s="2">
        <f>SUM(C9:C10)</f>
        <v>490511.5</v>
      </c>
    </row>
    <row r="12" spans="1:3" ht="17.25" customHeight="1">
      <c r="A12" s="2" t="s">
        <v>9</v>
      </c>
      <c r="B12" s="5">
        <f t="shared" si="0"/>
        <v>0</v>
      </c>
    </row>
    <row r="13" spans="1:3" ht="85.5" customHeight="1">
      <c r="A13" s="3" t="s">
        <v>29</v>
      </c>
      <c r="B13" s="5">
        <f t="shared" si="0"/>
        <v>9908.880000000001</v>
      </c>
      <c r="C13" s="1">
        <f>97211.32+21695.24</f>
        <v>118906.56000000001</v>
      </c>
    </row>
    <row r="14" spans="1:3" ht="81.75" customHeight="1">
      <c r="A14" s="3" t="s">
        <v>30</v>
      </c>
      <c r="B14" s="5">
        <f t="shared" si="0"/>
        <v>6264.4241666666667</v>
      </c>
      <c r="C14" s="1">
        <f>21913.53+53259.56</f>
        <v>75173.09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1464.5833333333333</v>
      </c>
      <c r="C16" s="1">
        <v>17575</v>
      </c>
    </row>
    <row r="17" spans="1:3" ht="14.25" customHeight="1">
      <c r="A17" s="1" t="s">
        <v>18</v>
      </c>
      <c r="B17" s="5">
        <f t="shared" si="0"/>
        <v>1458.6383333333333</v>
      </c>
      <c r="C17" s="1">
        <v>17503.66</v>
      </c>
    </row>
    <row r="18" spans="1:3" ht="14.25" customHeight="1">
      <c r="A18" s="1" t="s">
        <v>19</v>
      </c>
      <c r="B18" s="5">
        <f t="shared" si="0"/>
        <v>140.93</v>
      </c>
      <c r="C18" s="1">
        <v>1691.16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736.77499999999998</v>
      </c>
      <c r="C20" s="1">
        <v>8841.2999999999993</v>
      </c>
    </row>
    <row r="21" spans="1:3" ht="14.25" customHeight="1">
      <c r="A21" s="1" t="s">
        <v>22</v>
      </c>
      <c r="B21" s="5">
        <f t="shared" si="0"/>
        <v>1801.0791666666667</v>
      </c>
      <c r="C21" s="1">
        <v>21612.95</v>
      </c>
    </row>
    <row r="22" spans="1:3" ht="14.25" customHeight="1">
      <c r="A22" s="1" t="s">
        <v>23</v>
      </c>
      <c r="B22" s="5">
        <f t="shared" si="0"/>
        <v>3189.1875</v>
      </c>
      <c r="C22" s="1">
        <v>38270.25</v>
      </c>
    </row>
    <row r="23" spans="1:3" ht="14.25" customHeight="1">
      <c r="A23" s="1" t="s">
        <v>24</v>
      </c>
      <c r="B23" s="5">
        <f t="shared" si="0"/>
        <v>498.93916666666672</v>
      </c>
      <c r="C23" s="1">
        <v>5987.27</v>
      </c>
    </row>
    <row r="24" spans="1:3" ht="14.25" customHeight="1">
      <c r="A24" s="1" t="s">
        <v>25</v>
      </c>
      <c r="B24" s="5">
        <f t="shared" si="0"/>
        <v>2153.5083333333332</v>
      </c>
      <c r="C24" s="1">
        <v>25842.1</v>
      </c>
    </row>
    <row r="25" spans="1:3" ht="14.25" customHeight="1">
      <c r="A25" s="1" t="s">
        <v>26</v>
      </c>
      <c r="B25" s="5">
        <f t="shared" si="0"/>
        <v>239.77083333333334</v>
      </c>
      <c r="C25" s="1">
        <v>2877.25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9334.3683333333338</v>
      </c>
      <c r="C27" s="1">
        <v>112012.42</v>
      </c>
    </row>
    <row r="28" spans="1:3" ht="14.25" customHeight="1">
      <c r="A28" s="2" t="s">
        <v>10</v>
      </c>
      <c r="B28" s="5">
        <f t="shared" si="0"/>
        <v>37191.084166666667</v>
      </c>
      <c r="C28" s="2">
        <f>SUM(C13:C27)</f>
        <v>446293.01</v>
      </c>
    </row>
    <row r="29" spans="1:3" ht="24.75" customHeight="1">
      <c r="A29" s="2" t="s">
        <v>11</v>
      </c>
      <c r="C29" s="2">
        <v>86017.66</v>
      </c>
    </row>
    <row r="30" spans="1:3" ht="32.25" customHeight="1">
      <c r="A30" s="2" t="s">
        <v>12</v>
      </c>
      <c r="C30" s="2"/>
    </row>
    <row r="31" spans="1:3" ht="67.5" customHeight="1">
      <c r="A31" s="3" t="s">
        <v>34</v>
      </c>
      <c r="C31" s="1">
        <v>67822.61</v>
      </c>
    </row>
    <row r="32" spans="1:3" ht="63.75" customHeight="1">
      <c r="A32" s="3" t="s">
        <v>35</v>
      </c>
      <c r="C32" s="1">
        <v>495.31</v>
      </c>
    </row>
    <row r="33" spans="1:3" ht="15.75">
      <c r="A33" s="2" t="s">
        <v>101</v>
      </c>
      <c r="B33" s="2"/>
      <c r="C33" s="2">
        <v>17699.740000000002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C37"/>
  <sheetViews>
    <sheetView topLeftCell="A14" workbookViewId="0">
      <selection activeCell="B19" sqref="B19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146</v>
      </c>
      <c r="B2" s="1" t="s">
        <v>140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28852.3</v>
      </c>
    </row>
    <row r="9" spans="1:3" ht="53.25" customHeight="1">
      <c r="A9" s="3" t="s">
        <v>32</v>
      </c>
      <c r="B9" s="5">
        <f>C9/12</f>
        <v>39745.48333333333</v>
      </c>
      <c r="C9" s="1">
        <v>476945.8</v>
      </c>
    </row>
    <row r="10" spans="1:3" ht="46.5" customHeight="1">
      <c r="A10" s="3" t="s">
        <v>33</v>
      </c>
      <c r="B10" s="5">
        <f t="shared" ref="B10:B28" si="0">C10/12</f>
        <v>862.35249999999996</v>
      </c>
      <c r="C10" s="1">
        <v>10348.23</v>
      </c>
    </row>
    <row r="11" spans="1:3" ht="18" customHeight="1">
      <c r="A11" s="2" t="s">
        <v>8</v>
      </c>
      <c r="B11" s="5">
        <f t="shared" si="0"/>
        <v>40607.835833333331</v>
      </c>
      <c r="C11" s="2">
        <f>SUM(C9:C10)</f>
        <v>487294.02999999997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9919.2966666666671</v>
      </c>
      <c r="C13" s="1">
        <f>97333.1+21698.46</f>
        <v>119031.56</v>
      </c>
    </row>
    <row r="14" spans="1:3" ht="81.75" customHeight="1">
      <c r="A14" s="3" t="s">
        <v>30</v>
      </c>
      <c r="B14" s="5">
        <f t="shared" si="0"/>
        <v>6205.6349999999993</v>
      </c>
      <c r="C14" s="1">
        <f>24141.94+50325.68</f>
        <v>74467.62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3555.9166666666665</v>
      </c>
      <c r="C16" s="1">
        <v>42671</v>
      </c>
    </row>
    <row r="17" spans="1:3" ht="14.25" customHeight="1">
      <c r="A17" s="1" t="s">
        <v>18</v>
      </c>
      <c r="B17" s="5">
        <f t="shared" si="0"/>
        <v>1455.8683333333331</v>
      </c>
      <c r="C17" s="1">
        <v>17470.419999999998</v>
      </c>
    </row>
    <row r="18" spans="1:3" ht="14.25" customHeight="1">
      <c r="A18" s="1" t="s">
        <v>19</v>
      </c>
      <c r="B18" s="5">
        <f t="shared" si="0"/>
        <v>140.14000000000001</v>
      </c>
      <c r="C18" s="1">
        <v>1681.68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736.77499999999998</v>
      </c>
      <c r="C20" s="1">
        <v>8841.2999999999993</v>
      </c>
    </row>
    <row r="21" spans="1:3" ht="14.25" customHeight="1">
      <c r="A21" s="1" t="s">
        <v>22</v>
      </c>
      <c r="B21" s="5">
        <f t="shared" si="0"/>
        <v>1802.5133333333333</v>
      </c>
      <c r="C21" s="1">
        <v>21630.16</v>
      </c>
    </row>
    <row r="22" spans="1:3" ht="14.25" customHeight="1">
      <c r="A22" s="1" t="s">
        <v>23</v>
      </c>
      <c r="B22" s="5">
        <f t="shared" si="0"/>
        <v>3159.2841666666668</v>
      </c>
      <c r="C22" s="1">
        <v>37911.410000000003</v>
      </c>
    </row>
    <row r="23" spans="1:3" ht="14.25" customHeight="1">
      <c r="A23" s="1" t="s">
        <v>24</v>
      </c>
      <c r="B23" s="5">
        <f t="shared" si="0"/>
        <v>501.0025</v>
      </c>
      <c r="C23" s="1">
        <v>6012.03</v>
      </c>
    </row>
    <row r="24" spans="1:3" ht="14.25" customHeight="1">
      <c r="A24" s="1" t="s">
        <v>25</v>
      </c>
      <c r="B24" s="5">
        <f t="shared" si="0"/>
        <v>2139.3825000000002</v>
      </c>
      <c r="C24" s="1">
        <v>25672.59</v>
      </c>
    </row>
    <row r="25" spans="1:3" ht="14.25" customHeight="1">
      <c r="A25" s="1" t="s">
        <v>26</v>
      </c>
      <c r="B25" s="5">
        <f t="shared" si="0"/>
        <v>239.77083333333334</v>
      </c>
      <c r="C25" s="1">
        <v>2877.25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8151.1425000000008</v>
      </c>
      <c r="C27" s="1">
        <v>97813.71</v>
      </c>
    </row>
    <row r="28" spans="1:3" ht="14.25" customHeight="1">
      <c r="A28" s="2" t="s">
        <v>10</v>
      </c>
      <c r="B28" s="5">
        <f t="shared" si="0"/>
        <v>38006.727500000001</v>
      </c>
      <c r="C28" s="2">
        <f>SUM(C13:C27)</f>
        <v>456080.73</v>
      </c>
    </row>
    <row r="29" spans="1:3" ht="24.75" customHeight="1">
      <c r="A29" s="2" t="s">
        <v>11</v>
      </c>
      <c r="C29" s="2">
        <v>60065.599999999999</v>
      </c>
    </row>
    <row r="30" spans="1:3" ht="32.25" customHeight="1">
      <c r="A30" s="2" t="s">
        <v>12</v>
      </c>
      <c r="C30" s="2"/>
    </row>
    <row r="31" spans="1:3" ht="67.5" customHeight="1">
      <c r="A31" s="3" t="s">
        <v>34</v>
      </c>
      <c r="C31" s="1">
        <v>164417.85999999999</v>
      </c>
    </row>
    <row r="32" spans="1:3" ht="63.75" customHeight="1">
      <c r="A32" s="3" t="s">
        <v>35</v>
      </c>
      <c r="C32" s="1">
        <v>25748.12</v>
      </c>
    </row>
    <row r="33" spans="1:3" ht="15.75">
      <c r="A33" s="2" t="s">
        <v>101</v>
      </c>
      <c r="B33" s="2"/>
      <c r="C33" s="2">
        <v>-130100.38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D12" sqref="D12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147</v>
      </c>
      <c r="B2" s="1" t="s">
        <v>140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-66422.990000000005</v>
      </c>
    </row>
    <row r="9" spans="1:3" ht="53.25" customHeight="1">
      <c r="A9" s="3" t="s">
        <v>32</v>
      </c>
      <c r="B9" s="5">
        <f>C9/12</f>
        <v>55370.941666666673</v>
      </c>
      <c r="C9" s="1">
        <v>664451.30000000005</v>
      </c>
    </row>
    <row r="10" spans="1:3" ht="46.5" customHeight="1">
      <c r="A10" s="3" t="s">
        <v>33</v>
      </c>
      <c r="B10" s="5">
        <f t="shared" ref="B10:B28" si="0">C10/12</f>
        <v>6416.0874999999987</v>
      </c>
      <c r="C10" s="1">
        <f>58636.59+18356.46</f>
        <v>76993.049999999988</v>
      </c>
    </row>
    <row r="11" spans="1:3" ht="18" customHeight="1">
      <c r="A11" s="2" t="s">
        <v>8</v>
      </c>
      <c r="B11" s="5">
        <f t="shared" si="0"/>
        <v>61787.029166666674</v>
      </c>
      <c r="C11" s="2">
        <f>SUM(C9:C10)</f>
        <v>741444.35000000009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15827.618333333332</v>
      </c>
      <c r="C13" s="1">
        <f>155308.5+34622.92</f>
        <v>189931.41999999998</v>
      </c>
    </row>
    <row r="14" spans="1:3" ht="81.75" customHeight="1">
      <c r="A14" s="3" t="s">
        <v>30</v>
      </c>
      <c r="B14" s="5">
        <f t="shared" si="0"/>
        <v>10647.586666666668</v>
      </c>
      <c r="C14" s="1">
        <f>39505.87+88265.17</f>
        <v>127771.04000000001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358.58333333333331</v>
      </c>
      <c r="C16" s="1">
        <v>4303</v>
      </c>
    </row>
    <row r="17" spans="1:3" ht="14.25" customHeight="1">
      <c r="A17" s="1" t="s">
        <v>18</v>
      </c>
      <c r="B17" s="5">
        <f t="shared" si="0"/>
        <v>2292.8366666666666</v>
      </c>
      <c r="C17" s="1">
        <v>27514.04</v>
      </c>
    </row>
    <row r="18" spans="1:3" ht="14.25" customHeight="1">
      <c r="A18" s="1" t="s">
        <v>19</v>
      </c>
      <c r="B18" s="5"/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1003.8558333333334</v>
      </c>
      <c r="C20" s="1">
        <v>12046.27</v>
      </c>
    </row>
    <row r="21" spans="1:3" ht="14.25" customHeight="1">
      <c r="A21" s="1" t="s">
        <v>22</v>
      </c>
      <c r="B21" s="5">
        <f t="shared" si="0"/>
        <v>2735.7075</v>
      </c>
      <c r="C21" s="1">
        <v>32828.49</v>
      </c>
    </row>
    <row r="22" spans="1:3" ht="14.25" customHeight="1">
      <c r="A22" s="1" t="s">
        <v>23</v>
      </c>
      <c r="B22" s="5">
        <f t="shared" si="0"/>
        <v>5041.0775000000003</v>
      </c>
      <c r="C22" s="1">
        <v>60492.93</v>
      </c>
    </row>
    <row r="23" spans="1:3" ht="14.25" customHeight="1">
      <c r="A23" s="1" t="s">
        <v>24</v>
      </c>
      <c r="B23" s="5">
        <f t="shared" si="0"/>
        <v>699.94333333333327</v>
      </c>
      <c r="C23" s="1">
        <v>8399.32</v>
      </c>
    </row>
    <row r="24" spans="1:3" ht="14.25" customHeight="1">
      <c r="A24" s="1" t="s">
        <v>25</v>
      </c>
      <c r="B24" s="5">
        <f t="shared" si="0"/>
        <v>3255.1866666666665</v>
      </c>
      <c r="C24" s="1">
        <v>39062.239999999998</v>
      </c>
    </row>
    <row r="25" spans="1:3" ht="14.25" customHeight="1">
      <c r="A25" s="1" t="s">
        <v>26</v>
      </c>
      <c r="B25" s="5">
        <f t="shared" si="0"/>
        <v>343.63749999999999</v>
      </c>
      <c r="C25" s="1">
        <v>4123.6499999999996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12980.8925</v>
      </c>
      <c r="C27" s="1">
        <v>155770.71</v>
      </c>
    </row>
    <row r="28" spans="1:3" ht="14.25" customHeight="1">
      <c r="A28" s="2" t="s">
        <v>10</v>
      </c>
      <c r="B28" s="5">
        <f t="shared" si="0"/>
        <v>55186.925833333335</v>
      </c>
      <c r="C28" s="2">
        <f>SUM(C13:C27)</f>
        <v>662243.11</v>
      </c>
    </row>
    <row r="29" spans="1:3" ht="24.75" customHeight="1">
      <c r="A29" s="2" t="s">
        <v>11</v>
      </c>
      <c r="C29" s="2">
        <v>12778.25</v>
      </c>
    </row>
    <row r="30" spans="1:3" ht="32.25" customHeight="1">
      <c r="A30" s="2" t="s">
        <v>12</v>
      </c>
      <c r="C30" s="2"/>
    </row>
    <row r="31" spans="1:3" ht="67.5" customHeight="1">
      <c r="A31" s="3" t="s">
        <v>34</v>
      </c>
      <c r="C31" s="1">
        <v>315161.59999999998</v>
      </c>
    </row>
    <row r="32" spans="1:3" ht="63.75" customHeight="1">
      <c r="A32" s="3" t="s">
        <v>35</v>
      </c>
      <c r="C32" s="1">
        <v>25748.12</v>
      </c>
    </row>
    <row r="33" spans="1:3" ht="15.75">
      <c r="A33" s="2" t="s">
        <v>101</v>
      </c>
      <c r="B33" s="2"/>
      <c r="C33" s="2">
        <v>-328131.46999999997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C37"/>
  <sheetViews>
    <sheetView topLeftCell="A8" workbookViewId="0">
      <selection activeCell="B12" sqref="B12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148</v>
      </c>
      <c r="B2" s="1" t="s">
        <v>140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-100885.6</v>
      </c>
    </row>
    <row r="9" spans="1:3" ht="53.25" customHeight="1">
      <c r="A9" s="3" t="s">
        <v>32</v>
      </c>
      <c r="B9" s="5">
        <f>C9/12</f>
        <v>30500.235000000001</v>
      </c>
      <c r="C9" s="1">
        <v>366002.82</v>
      </c>
    </row>
    <row r="10" spans="1:3" ht="46.5" customHeight="1">
      <c r="A10" s="3" t="s">
        <v>33</v>
      </c>
      <c r="B10" s="5">
        <f t="shared" ref="B10:B28" si="0">C10/12</f>
        <v>10453.752500000001</v>
      </c>
      <c r="C10" s="1">
        <f>115096.8+10348.23</f>
        <v>125445.03</v>
      </c>
    </row>
    <row r="11" spans="1:3" ht="18" customHeight="1">
      <c r="A11" s="2" t="s">
        <v>8</v>
      </c>
      <c r="B11" s="5">
        <f t="shared" si="0"/>
        <v>40953.987499999996</v>
      </c>
      <c r="C11" s="2">
        <f>SUM(C9:C10)</f>
        <v>491447.85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11161.168333333333</v>
      </c>
      <c r="C13" s="1">
        <f>109519+24415.02</f>
        <v>133934.01999999999</v>
      </c>
    </row>
    <row r="14" spans="1:3" ht="81.75" customHeight="1">
      <c r="A14" s="3" t="s">
        <v>30</v>
      </c>
      <c r="B14" s="5">
        <f t="shared" si="0"/>
        <v>14311.183333333334</v>
      </c>
      <c r="C14" s="1">
        <f>26877.03+144857.17</f>
        <v>171734.2</v>
      </c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>
        <f t="shared" si="0"/>
        <v>749.58333333333337</v>
      </c>
      <c r="C16" s="1">
        <v>8995</v>
      </c>
    </row>
    <row r="17" spans="1:3" ht="14.25" customHeight="1">
      <c r="A17" s="1" t="s">
        <v>18</v>
      </c>
      <c r="B17" s="5">
        <f t="shared" si="0"/>
        <v>1630.9516666666666</v>
      </c>
      <c r="C17" s="1">
        <v>19571.419999999998</v>
      </c>
    </row>
    <row r="18" spans="1:3" ht="14.25" customHeight="1">
      <c r="A18" s="1" t="s">
        <v>19</v>
      </c>
      <c r="B18" s="5">
        <f t="shared" si="0"/>
        <v>49.01</v>
      </c>
      <c r="C18" s="1">
        <v>588.12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589.41999999999996</v>
      </c>
      <c r="C20" s="1">
        <v>7073.04</v>
      </c>
    </row>
    <row r="21" spans="1:3" ht="14.25" customHeight="1">
      <c r="A21" s="1" t="s">
        <v>22</v>
      </c>
      <c r="B21" s="5">
        <f t="shared" si="0"/>
        <v>1811.7875000000001</v>
      </c>
      <c r="C21" s="1">
        <v>21741.45</v>
      </c>
    </row>
    <row r="22" spans="1:3" ht="14.25" customHeight="1">
      <c r="A22" s="1" t="s">
        <v>23</v>
      </c>
      <c r="B22" s="5">
        <f t="shared" si="0"/>
        <v>3554.8141666666666</v>
      </c>
      <c r="C22" s="1">
        <v>42657.77</v>
      </c>
    </row>
    <row r="23" spans="1:3" ht="14.25" customHeight="1">
      <c r="A23" s="1" t="s">
        <v>24</v>
      </c>
      <c r="B23" s="5">
        <f t="shared" si="0"/>
        <v>396.88166666666666</v>
      </c>
      <c r="C23" s="1">
        <v>4762.58</v>
      </c>
    </row>
    <row r="24" spans="1:3" ht="14.25" customHeight="1">
      <c r="A24" s="1" t="s">
        <v>25</v>
      </c>
      <c r="B24" s="5">
        <f t="shared" si="0"/>
        <v>2157.6191666666668</v>
      </c>
      <c r="C24" s="1">
        <v>25891.43</v>
      </c>
    </row>
    <row r="25" spans="1:3" ht="14.25" customHeight="1">
      <c r="A25" s="1" t="s">
        <v>26</v>
      </c>
      <c r="B25" s="5">
        <f t="shared" si="0"/>
        <v>208.16166666666666</v>
      </c>
      <c r="C25" s="1">
        <v>2497.94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9179.0475000000006</v>
      </c>
      <c r="C27" s="1">
        <v>110148.57</v>
      </c>
    </row>
    <row r="28" spans="1:3" ht="14.25" customHeight="1">
      <c r="A28" s="2" t="s">
        <v>10</v>
      </c>
      <c r="B28" s="5">
        <f t="shared" si="0"/>
        <v>45799.628333333334</v>
      </c>
      <c r="C28" s="2">
        <f>SUM(C13:C27)</f>
        <v>549595.54</v>
      </c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>
        <v>159033.29</v>
      </c>
    </row>
    <row r="31" spans="1:3" ht="67.5" customHeight="1">
      <c r="A31" s="3" t="s">
        <v>34</v>
      </c>
      <c r="C31" s="1">
        <v>225144.11</v>
      </c>
    </row>
    <row r="32" spans="1:3" ht="63.75" customHeight="1">
      <c r="A32" s="3" t="s">
        <v>35</v>
      </c>
      <c r="C32" s="1">
        <v>7434.12</v>
      </c>
    </row>
    <row r="33" spans="1:3" ht="15.75">
      <c r="A33" s="2" t="s">
        <v>101</v>
      </c>
      <c r="B33" s="2"/>
      <c r="C33" s="2">
        <v>-391611.52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XFD1048576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131</v>
      </c>
      <c r="B2" s="1" t="s">
        <v>140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/>
    </row>
    <row r="9" spans="1:3" ht="53.25" customHeight="1">
      <c r="A9" s="3" t="s">
        <v>32</v>
      </c>
      <c r="B9" s="5"/>
    </row>
    <row r="10" spans="1:3" ht="46.5" customHeight="1">
      <c r="A10" s="3" t="s">
        <v>33</v>
      </c>
      <c r="B10" s="5"/>
    </row>
    <row r="11" spans="1:3" ht="18" customHeight="1">
      <c r="A11" s="2" t="s">
        <v>8</v>
      </c>
      <c r="B11" s="5"/>
      <c r="C11" s="2"/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/>
    </row>
    <row r="14" spans="1:3" ht="81.75" customHeight="1">
      <c r="A14" s="3" t="s">
        <v>30</v>
      </c>
      <c r="B14" s="5"/>
    </row>
    <row r="15" spans="1:3" ht="66" customHeight="1">
      <c r="A15" s="3" t="s">
        <v>31</v>
      </c>
      <c r="B15" s="5"/>
    </row>
    <row r="16" spans="1:3" ht="16.5" customHeight="1">
      <c r="A16" s="1" t="s">
        <v>17</v>
      </c>
      <c r="B16" s="5"/>
    </row>
    <row r="17" spans="1:3" ht="14.25" customHeight="1">
      <c r="A17" s="1" t="s">
        <v>18</v>
      </c>
      <c r="B17" s="5"/>
    </row>
    <row r="18" spans="1:3" ht="14.25" customHeight="1">
      <c r="A18" s="1" t="s">
        <v>19</v>
      </c>
      <c r="B18" s="5"/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/>
    </row>
    <row r="21" spans="1:3" ht="14.25" customHeight="1">
      <c r="A21" s="1" t="s">
        <v>22</v>
      </c>
      <c r="B21" s="5"/>
    </row>
    <row r="22" spans="1:3" ht="14.25" customHeight="1">
      <c r="A22" s="1" t="s">
        <v>23</v>
      </c>
      <c r="B22" s="5"/>
    </row>
    <row r="23" spans="1:3" ht="14.25" customHeight="1">
      <c r="A23" s="1" t="s">
        <v>24</v>
      </c>
      <c r="B23" s="5"/>
    </row>
    <row r="24" spans="1:3" ht="14.25" customHeight="1">
      <c r="A24" s="1" t="s">
        <v>25</v>
      </c>
      <c r="B24" s="5"/>
    </row>
    <row r="25" spans="1:3" ht="14.25" customHeight="1">
      <c r="A25" s="1" t="s">
        <v>26</v>
      </c>
      <c r="B25" s="5"/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/>
    </row>
    <row r="28" spans="1:3" ht="14.25" customHeight="1">
      <c r="A28" s="2" t="s">
        <v>10</v>
      </c>
      <c r="B28" s="5"/>
      <c r="C28" s="2"/>
    </row>
    <row r="29" spans="1:3" ht="24.75" customHeight="1">
      <c r="A29" s="2" t="s">
        <v>11</v>
      </c>
      <c r="C29" s="2"/>
    </row>
    <row r="30" spans="1:3" ht="32.25" customHeight="1">
      <c r="A30" s="2" t="s">
        <v>12</v>
      </c>
      <c r="C30" s="2"/>
    </row>
    <row r="31" spans="1:3" ht="67.5" customHeight="1">
      <c r="A31" s="3" t="s">
        <v>34</v>
      </c>
    </row>
    <row r="32" spans="1:3" ht="63.75" customHeight="1">
      <c r="A32" s="3" t="s">
        <v>35</v>
      </c>
    </row>
    <row r="33" spans="1:3" ht="15.75">
      <c r="A33" s="2" t="s">
        <v>101</v>
      </c>
      <c r="B33" s="2"/>
      <c r="C33" s="2"/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XFD1048576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1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2">
        <v>-103391.34</v>
      </c>
    </row>
    <row r="9" spans="1:3" ht="53.25" customHeight="1">
      <c r="A9" s="3" t="s">
        <v>32</v>
      </c>
      <c r="B9" s="5">
        <f>C9/12</f>
        <v>34694.941666666666</v>
      </c>
      <c r="C9" s="1">
        <v>416339.3</v>
      </c>
    </row>
    <row r="10" spans="1:3" ht="46.5" customHeight="1">
      <c r="A10" s="3" t="s">
        <v>33</v>
      </c>
      <c r="B10" s="5">
        <f t="shared" ref="B10:B28" si="0">C10/12</f>
        <v>1994.1508333333331</v>
      </c>
      <c r="C10" s="1">
        <f>10863.67+13066.14</f>
        <v>23929.809999999998</v>
      </c>
    </row>
    <row r="11" spans="1:3" ht="18" customHeight="1">
      <c r="A11" s="2" t="s">
        <v>8</v>
      </c>
      <c r="B11" s="5">
        <f t="shared" si="0"/>
        <v>36689.092499999999</v>
      </c>
      <c r="C11" s="2">
        <f>SUM(C9:C10)</f>
        <v>440269.11</v>
      </c>
    </row>
    <row r="12" spans="1:3" ht="17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9766.380000000001</v>
      </c>
      <c r="C13" s="1">
        <f>95813.32+21383.24</f>
        <v>117196.56000000001</v>
      </c>
    </row>
    <row r="14" spans="1:3" ht="81.75" customHeight="1">
      <c r="A14" s="3" t="s">
        <v>30</v>
      </c>
      <c r="B14" s="5">
        <f t="shared" si="0"/>
        <v>8065.1641666666665</v>
      </c>
      <c r="C14" s="1">
        <f>27995.07+68786.9</f>
        <v>96781.97</v>
      </c>
    </row>
    <row r="15" spans="1:3" ht="66" customHeight="1">
      <c r="A15" s="3" t="s">
        <v>31</v>
      </c>
      <c r="B15" s="5">
        <f t="shared" si="0"/>
        <v>0</v>
      </c>
    </row>
    <row r="16" spans="1:3" ht="16.5" customHeight="1">
      <c r="A16" s="1" t="s">
        <v>17</v>
      </c>
      <c r="B16" s="5">
        <f t="shared" si="0"/>
        <v>6223.458333333333</v>
      </c>
      <c r="C16" s="1">
        <v>74681.5</v>
      </c>
    </row>
    <row r="17" spans="1:3" ht="14.25" customHeight="1">
      <c r="A17" s="1" t="s">
        <v>18</v>
      </c>
      <c r="B17" s="5">
        <f t="shared" si="0"/>
        <v>1428.75</v>
      </c>
      <c r="C17" s="1">
        <v>17145</v>
      </c>
    </row>
    <row r="18" spans="1:3" ht="14.25" customHeight="1">
      <c r="A18" s="1" t="s">
        <v>19</v>
      </c>
      <c r="B18" s="5">
        <f t="shared" si="0"/>
        <v>517.29499999999996</v>
      </c>
      <c r="C18" s="1">
        <v>6207.54</v>
      </c>
    </row>
    <row r="19" spans="1:3" ht="14.25" customHeight="1">
      <c r="A19" s="1" t="s">
        <v>20</v>
      </c>
      <c r="B19" s="5"/>
    </row>
    <row r="20" spans="1:3" ht="14.25" customHeight="1">
      <c r="A20" s="1" t="s">
        <v>21</v>
      </c>
      <c r="B20" s="5">
        <f t="shared" si="0"/>
        <v>681.51666666666665</v>
      </c>
      <c r="C20" s="1">
        <v>8178.2</v>
      </c>
    </row>
    <row r="21" spans="1:3" ht="14.25" customHeight="1">
      <c r="A21" s="1" t="s">
        <v>22</v>
      </c>
      <c r="B21" s="5">
        <f t="shared" si="0"/>
        <v>1638.7158333333334</v>
      </c>
      <c r="C21" s="1">
        <v>19664.59</v>
      </c>
    </row>
    <row r="22" spans="1:3" ht="14.25" customHeight="1">
      <c r="A22" s="1" t="s">
        <v>23</v>
      </c>
      <c r="B22" s="5">
        <f t="shared" si="0"/>
        <v>3143.3233333333333</v>
      </c>
      <c r="C22" s="1">
        <v>37719.879999999997</v>
      </c>
    </row>
    <row r="23" spans="1:3" ht="14.25" customHeight="1">
      <c r="A23" s="1" t="s">
        <v>24</v>
      </c>
      <c r="B23" s="5">
        <f t="shared" si="0"/>
        <v>626.90083333333337</v>
      </c>
      <c r="C23" s="1">
        <v>7522.81</v>
      </c>
    </row>
    <row r="24" spans="1:3" ht="14.25" customHeight="1">
      <c r="A24" s="1" t="s">
        <v>25</v>
      </c>
      <c r="B24" s="5">
        <f t="shared" si="0"/>
        <v>1932.9275</v>
      </c>
      <c r="C24" s="1">
        <v>23195.13</v>
      </c>
    </row>
    <row r="25" spans="1:3" ht="14.25" customHeight="1">
      <c r="A25" s="1" t="s">
        <v>26</v>
      </c>
      <c r="B25" s="5">
        <f t="shared" si="0"/>
        <v>207.45083333333332</v>
      </c>
      <c r="C25" s="1">
        <v>2489.41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7999.5683333333336</v>
      </c>
      <c r="C27" s="1">
        <v>95994.82</v>
      </c>
    </row>
    <row r="28" spans="1:3" ht="14.25" customHeight="1">
      <c r="A28" s="2" t="s">
        <v>10</v>
      </c>
      <c r="B28" s="5">
        <f t="shared" si="0"/>
        <v>42231.450833333336</v>
      </c>
      <c r="C28" s="2">
        <f>SUM(C13:C27)</f>
        <v>506777.41000000003</v>
      </c>
    </row>
    <row r="29" spans="1:3" ht="14.25" customHeight="1">
      <c r="A29" s="2" t="s">
        <v>11</v>
      </c>
    </row>
    <row r="30" spans="1:3" ht="14.25" customHeight="1">
      <c r="A30" s="2" t="s">
        <v>12</v>
      </c>
      <c r="C30" s="2">
        <v>169899.64</v>
      </c>
    </row>
    <row r="31" spans="1:3" ht="67.5" customHeight="1">
      <c r="A31" s="3" t="s">
        <v>49</v>
      </c>
      <c r="C31" s="1">
        <v>243192.14</v>
      </c>
    </row>
    <row r="32" spans="1:3" ht="63.75" customHeight="1">
      <c r="A32" s="3" t="s">
        <v>57</v>
      </c>
      <c r="C32" s="1">
        <v>4033.97</v>
      </c>
    </row>
    <row r="33" spans="1:3" ht="15.75">
      <c r="A33" s="2" t="s">
        <v>101</v>
      </c>
      <c r="B33" s="2"/>
      <c r="C33" s="2">
        <v>-417125.75</v>
      </c>
    </row>
    <row r="34" spans="1:3" ht="68.25" customHeight="1">
      <c r="A34" s="1" t="s">
        <v>16</v>
      </c>
    </row>
    <row r="35" spans="1:3" ht="52.5" customHeight="1">
      <c r="A35" s="1" t="s">
        <v>13</v>
      </c>
    </row>
    <row r="36" spans="1:3" ht="15.75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topLeftCell="A21" workbookViewId="0">
      <selection activeCell="C33" sqref="C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50</v>
      </c>
    </row>
    <row r="3" spans="1:3" ht="14.25" customHeight="1">
      <c r="A3" s="1" t="s">
        <v>2</v>
      </c>
    </row>
    <row r="4" spans="1:3" ht="14.25" customHeight="1">
      <c r="A4" s="1" t="s">
        <v>38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1">
        <v>-81658.929999999993</v>
      </c>
    </row>
    <row r="9" spans="1:3" ht="53.25" customHeight="1">
      <c r="A9" s="3" t="s">
        <v>32</v>
      </c>
      <c r="B9" s="5">
        <f>C9/12</f>
        <v>93915.466666666674</v>
      </c>
      <c r="C9" s="1">
        <v>1126985.6000000001</v>
      </c>
    </row>
    <row r="10" spans="1:3" ht="46.5" customHeight="1">
      <c r="A10" s="3" t="s">
        <v>33</v>
      </c>
      <c r="B10" s="5">
        <f t="shared" ref="B10:B28" si="0">C10/12</f>
        <v>2433.1858333333334</v>
      </c>
      <c r="C10" s="1">
        <v>29198.23</v>
      </c>
    </row>
    <row r="11" spans="1:3" ht="18" customHeight="1">
      <c r="A11" s="2" t="s">
        <v>8</v>
      </c>
      <c r="B11" s="5">
        <f t="shared" si="0"/>
        <v>96348.652500000011</v>
      </c>
      <c r="C11" s="1">
        <f>SUM(C9:C10)</f>
        <v>1156183.83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18857.088333333333</v>
      </c>
      <c r="C13" s="1">
        <f>185035.18+41249.88</f>
        <v>226285.06</v>
      </c>
    </row>
    <row r="14" spans="1:3" ht="81.75" customHeight="1">
      <c r="A14" s="3" t="s">
        <v>30</v>
      </c>
      <c r="B14" s="5">
        <f t="shared" si="0"/>
        <v>11632.39</v>
      </c>
      <c r="C14" s="1">
        <f>62235.81+77352.87</f>
        <v>139588.68</v>
      </c>
    </row>
    <row r="15" spans="1:3" ht="66" customHeight="1">
      <c r="A15" s="3" t="s">
        <v>31</v>
      </c>
      <c r="B15" s="5">
        <f t="shared" si="0"/>
        <v>6871.7599999999993</v>
      </c>
      <c r="C15" s="1">
        <v>82461.119999999995</v>
      </c>
    </row>
    <row r="16" spans="1:3" ht="16.5" customHeight="1">
      <c r="A16" s="1" t="s">
        <v>17</v>
      </c>
      <c r="B16" s="5">
        <f t="shared" si="0"/>
        <v>7791.666666666667</v>
      </c>
      <c r="C16" s="1">
        <v>93500</v>
      </c>
    </row>
    <row r="17" spans="1:3" ht="14.25" customHeight="1">
      <c r="A17" s="1" t="s">
        <v>18</v>
      </c>
      <c r="B17" s="5">
        <f t="shared" si="0"/>
        <v>2692.375</v>
      </c>
      <c r="C17" s="1">
        <v>32308.5</v>
      </c>
    </row>
    <row r="18" spans="1:3" ht="14.25" customHeight="1">
      <c r="A18" s="1" t="s">
        <v>19</v>
      </c>
      <c r="B18" s="5">
        <f t="shared" si="0"/>
        <v>201.03</v>
      </c>
      <c r="C18" s="1">
        <v>2412.36</v>
      </c>
    </row>
    <row r="19" spans="1:3" ht="14.25" customHeight="1">
      <c r="A19" s="1" t="s">
        <v>20</v>
      </c>
      <c r="B19" s="5">
        <f t="shared" si="0"/>
        <v>16892.251666666667</v>
      </c>
      <c r="C19" s="1">
        <v>202707.02</v>
      </c>
    </row>
    <row r="20" spans="1:3" ht="14.25" customHeight="1">
      <c r="A20" s="1" t="s">
        <v>21</v>
      </c>
      <c r="B20" s="5">
        <f t="shared" si="0"/>
        <v>920.96833333333336</v>
      </c>
      <c r="C20" s="1">
        <v>11051.62</v>
      </c>
    </row>
    <row r="21" spans="1:3" ht="14.25" customHeight="1">
      <c r="A21" s="1" t="s">
        <v>22</v>
      </c>
      <c r="B21" s="5">
        <f t="shared" si="0"/>
        <v>4281.1433333333334</v>
      </c>
      <c r="C21" s="1">
        <v>51373.72</v>
      </c>
    </row>
    <row r="22" spans="1:3" ht="14.25" customHeight="1">
      <c r="A22" s="1" t="s">
        <v>23</v>
      </c>
      <c r="B22" s="5">
        <f t="shared" si="0"/>
        <v>6005.9608333333335</v>
      </c>
      <c r="C22" s="1">
        <v>72071.53</v>
      </c>
    </row>
    <row r="23" spans="1:3" ht="14.25" customHeight="1">
      <c r="A23" s="1" t="s">
        <v>24</v>
      </c>
      <c r="B23" s="5">
        <f t="shared" si="0"/>
        <v>12.539166666666667</v>
      </c>
      <c r="C23" s="1">
        <v>150.47</v>
      </c>
    </row>
    <row r="24" spans="1:3" ht="14.25" customHeight="1">
      <c r="A24" s="1" t="s">
        <v>25</v>
      </c>
      <c r="B24" s="5">
        <f t="shared" si="0"/>
        <v>5076.0308333333332</v>
      </c>
      <c r="C24" s="1">
        <v>60912.37</v>
      </c>
    </row>
    <row r="25" spans="1:3" ht="14.25" customHeight="1">
      <c r="A25" s="1" t="s">
        <v>26</v>
      </c>
      <c r="B25" s="5">
        <f t="shared" si="0"/>
        <v>180.21583333333334</v>
      </c>
      <c r="C25" s="1">
        <v>2162.59</v>
      </c>
    </row>
    <row r="26" spans="1:3" ht="14.25" customHeight="1">
      <c r="A26" s="1" t="s">
        <v>27</v>
      </c>
      <c r="B26" s="5"/>
    </row>
    <row r="27" spans="1:3" ht="14.25" customHeight="1">
      <c r="A27" s="1" t="s">
        <v>28</v>
      </c>
      <c r="B27" s="5">
        <f t="shared" si="0"/>
        <v>15133.760833333334</v>
      </c>
      <c r="C27" s="1">
        <v>181605.13</v>
      </c>
    </row>
    <row r="28" spans="1:3" ht="14.25" customHeight="1">
      <c r="A28" s="2" t="s">
        <v>10</v>
      </c>
      <c r="B28" s="5">
        <f t="shared" si="0"/>
        <v>96549.180833333332</v>
      </c>
      <c r="C28" s="1">
        <f>SUM(C13:C27)</f>
        <v>1158590.17</v>
      </c>
    </row>
    <row r="29" spans="1:3" ht="14.25" customHeight="1">
      <c r="A29" s="2" t="s">
        <v>11</v>
      </c>
    </row>
    <row r="30" spans="1:3" ht="14.25" customHeight="1">
      <c r="A30" s="2" t="s">
        <v>12</v>
      </c>
      <c r="C30" s="1">
        <v>84065.27</v>
      </c>
    </row>
    <row r="31" spans="1:3" ht="42" customHeight="1">
      <c r="A31" s="3" t="s">
        <v>51</v>
      </c>
      <c r="C31" s="1">
        <v>103827.13</v>
      </c>
    </row>
    <row r="32" spans="1:3" ht="67.5" customHeight="1">
      <c r="A32" s="3" t="s">
        <v>56</v>
      </c>
      <c r="C32" s="1">
        <v>29176.240000000002</v>
      </c>
    </row>
    <row r="33" spans="1:3" ht="32.25" customHeight="1">
      <c r="A33" s="2" t="s">
        <v>101</v>
      </c>
      <c r="C33" s="2">
        <v>-217068.64</v>
      </c>
    </row>
    <row r="34" spans="1:3" ht="43.5" customHeight="1">
      <c r="A34" s="1" t="s">
        <v>16</v>
      </c>
    </row>
    <row r="35" spans="1:3" ht="24" customHeight="1">
      <c r="A35" s="1" t="s">
        <v>13</v>
      </c>
    </row>
    <row r="36" spans="1:3" ht="30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C33" sqref="C33"/>
    </sheetView>
  </sheetViews>
  <sheetFormatPr defaultRowHeight="14.25" customHeight="1"/>
  <cols>
    <col min="1" max="1" width="46.7109375" style="1" customWidth="1"/>
    <col min="2" max="2" width="18.140625" style="1" customWidth="1"/>
    <col min="3" max="3" width="16.28515625" style="1" customWidth="1"/>
    <col min="4" max="16384" width="9.140625" style="1"/>
  </cols>
  <sheetData>
    <row r="1" spans="1:3" ht="14.25" customHeight="1">
      <c r="A1" s="1" t="s">
        <v>0</v>
      </c>
    </row>
    <row r="2" spans="1:3" ht="14.25" customHeight="1">
      <c r="A2" s="1" t="s">
        <v>52</v>
      </c>
    </row>
    <row r="3" spans="1:3" ht="14.25" customHeight="1">
      <c r="A3" s="1" t="s">
        <v>2</v>
      </c>
    </row>
    <row r="4" spans="1:3" ht="14.25" customHeight="1">
      <c r="A4" s="1" t="s">
        <v>53</v>
      </c>
    </row>
    <row r="5" spans="1:3" ht="14.25" customHeight="1">
      <c r="A5" s="1" t="s">
        <v>3</v>
      </c>
    </row>
    <row r="6" spans="1:3" ht="32.25" customHeight="1"/>
    <row r="7" spans="1:3" ht="14.25" customHeight="1">
      <c r="A7" s="1" t="s">
        <v>4</v>
      </c>
      <c r="B7" s="1" t="s">
        <v>5</v>
      </c>
      <c r="C7" s="1" t="s">
        <v>6</v>
      </c>
    </row>
    <row r="8" spans="1:3" ht="18.75" customHeight="1">
      <c r="A8" s="2" t="s">
        <v>7</v>
      </c>
      <c r="C8" s="1">
        <v>-188335.19</v>
      </c>
    </row>
    <row r="9" spans="1:3" ht="53.25" customHeight="1">
      <c r="A9" s="3" t="s">
        <v>32</v>
      </c>
      <c r="B9" s="5">
        <f>C9/12</f>
        <v>220894.11666666667</v>
      </c>
      <c r="C9" s="1">
        <v>2650729.4</v>
      </c>
    </row>
    <row r="10" spans="1:3" ht="46.5" customHeight="1">
      <c r="A10" s="3" t="s">
        <v>33</v>
      </c>
      <c r="B10" s="5">
        <f t="shared" ref="B10:B28" si="0">C10/12</f>
        <v>17430.173333333336</v>
      </c>
      <c r="C10" s="1">
        <f>126808.28+82353.8</f>
        <v>209162.08000000002</v>
      </c>
    </row>
    <row r="11" spans="1:3" ht="18" customHeight="1">
      <c r="A11" s="2" t="s">
        <v>8</v>
      </c>
      <c r="B11" s="5">
        <f t="shared" si="0"/>
        <v>238324.29</v>
      </c>
      <c r="C11" s="1">
        <f>SUM(C9:C10)</f>
        <v>2859891.48</v>
      </c>
    </row>
    <row r="12" spans="1:3" ht="14.25" customHeight="1">
      <c r="A12" s="2" t="s">
        <v>9</v>
      </c>
      <c r="B12" s="5"/>
    </row>
    <row r="13" spans="1:3" ht="85.5" customHeight="1">
      <c r="A13" s="3" t="s">
        <v>29</v>
      </c>
      <c r="B13" s="5">
        <f t="shared" si="0"/>
        <v>53568.578333333338</v>
      </c>
      <c r="C13" s="1">
        <f>525641.66+117181.28</f>
        <v>642822.94000000006</v>
      </c>
    </row>
    <row r="14" spans="1:3" ht="81.75" customHeight="1">
      <c r="A14" s="3" t="s">
        <v>30</v>
      </c>
      <c r="B14" s="5">
        <f t="shared" si="0"/>
        <v>49211.498333333329</v>
      </c>
      <c r="C14" s="1">
        <f>387742.11+202795.87</f>
        <v>590537.98</v>
      </c>
    </row>
    <row r="15" spans="1:3" ht="66" customHeight="1">
      <c r="A15" s="3" t="s">
        <v>31</v>
      </c>
      <c r="B15" s="5">
        <f t="shared" si="0"/>
        <v>10728.36</v>
      </c>
      <c r="C15" s="1">
        <v>128740.32</v>
      </c>
    </row>
    <row r="16" spans="1:3" ht="16.5" customHeight="1">
      <c r="A16" s="1" t="s">
        <v>17</v>
      </c>
      <c r="B16" s="5">
        <f t="shared" si="0"/>
        <v>6758.5</v>
      </c>
      <c r="C16" s="1">
        <v>81102</v>
      </c>
    </row>
    <row r="17" spans="1:3" ht="14.25" customHeight="1">
      <c r="A17" s="1" t="s">
        <v>18</v>
      </c>
      <c r="B17" s="5">
        <f t="shared" si="0"/>
        <v>6593.2733333333335</v>
      </c>
      <c r="C17" s="1">
        <v>79119.28</v>
      </c>
    </row>
    <row r="18" spans="1:3" ht="14.25" customHeight="1">
      <c r="A18" s="1" t="s">
        <v>19</v>
      </c>
      <c r="B18" s="5">
        <f t="shared" si="0"/>
        <v>300.87</v>
      </c>
      <c r="C18" s="1">
        <v>3610.44</v>
      </c>
    </row>
    <row r="19" spans="1:3" ht="14.25" customHeight="1">
      <c r="A19" s="1" t="s">
        <v>20</v>
      </c>
      <c r="B19" s="5">
        <f t="shared" si="0"/>
        <v>34323</v>
      </c>
      <c r="C19" s="1">
        <v>411876</v>
      </c>
    </row>
    <row r="20" spans="1:3" ht="14.25" customHeight="1">
      <c r="A20" s="1" t="s">
        <v>21</v>
      </c>
      <c r="B20" s="5">
        <f t="shared" si="0"/>
        <v>2099.8083333333334</v>
      </c>
      <c r="C20" s="1">
        <v>25197.7</v>
      </c>
    </row>
    <row r="21" spans="1:3" ht="14.25" customHeight="1">
      <c r="A21" s="1" t="s">
        <v>22</v>
      </c>
      <c r="B21" s="5">
        <f t="shared" si="0"/>
        <v>10585.199166666667</v>
      </c>
      <c r="C21" s="1">
        <v>127022.39</v>
      </c>
    </row>
    <row r="22" spans="1:3" ht="14.25" customHeight="1">
      <c r="A22" s="1" t="s">
        <v>23</v>
      </c>
      <c r="B22" s="5">
        <f t="shared" si="0"/>
        <v>17061.529166666667</v>
      </c>
      <c r="C22" s="1">
        <v>204738.35</v>
      </c>
    </row>
    <row r="23" spans="1:3" ht="14.25" customHeight="1">
      <c r="A23" s="1" t="s">
        <v>24</v>
      </c>
      <c r="B23" s="5"/>
    </row>
    <row r="24" spans="1:3" ht="14.25" customHeight="1">
      <c r="A24" s="1" t="s">
        <v>25</v>
      </c>
      <c r="B24" s="5">
        <f t="shared" si="0"/>
        <v>12555.871666666666</v>
      </c>
      <c r="C24" s="1">
        <v>150670.46</v>
      </c>
    </row>
    <row r="25" spans="1:3" ht="14.25" customHeight="1">
      <c r="A25" s="1" t="s">
        <v>26</v>
      </c>
      <c r="B25" s="5"/>
    </row>
    <row r="26" spans="1:3" ht="14.25" customHeight="1">
      <c r="A26" s="1" t="s">
        <v>27</v>
      </c>
      <c r="B26" s="5">
        <f t="shared" si="0"/>
        <v>983.30000000000007</v>
      </c>
      <c r="C26" s="1">
        <v>11799.6</v>
      </c>
    </row>
    <row r="27" spans="1:3" ht="21.75" customHeight="1">
      <c r="A27" s="1" t="s">
        <v>28</v>
      </c>
      <c r="B27" s="5">
        <f t="shared" si="0"/>
        <v>37168.11</v>
      </c>
      <c r="C27" s="1">
        <v>446017.32</v>
      </c>
    </row>
    <row r="28" spans="1:3" ht="24.75" customHeight="1">
      <c r="A28" s="2" t="s">
        <v>10</v>
      </c>
      <c r="B28" s="5">
        <f t="shared" si="0"/>
        <v>241937.89833333332</v>
      </c>
      <c r="C28" s="1">
        <f>SUM(C13:C27)</f>
        <v>2903254.78</v>
      </c>
    </row>
    <row r="29" spans="1:3" ht="18.75" customHeight="1">
      <c r="A29" s="2" t="s">
        <v>11</v>
      </c>
    </row>
    <row r="30" spans="1:3" ht="17.25" customHeight="1">
      <c r="A30" s="2" t="s">
        <v>12</v>
      </c>
      <c r="C30" s="1">
        <v>231698.49</v>
      </c>
    </row>
    <row r="31" spans="1:3" ht="50.25" customHeight="1">
      <c r="A31" s="3" t="s">
        <v>54</v>
      </c>
      <c r="C31" s="1">
        <v>107854.99</v>
      </c>
    </row>
    <row r="32" spans="1:3" ht="65.25" customHeight="1">
      <c r="A32" s="3" t="s">
        <v>55</v>
      </c>
      <c r="C32" s="1">
        <v>51193.04</v>
      </c>
    </row>
    <row r="33" spans="1:3" ht="24.75" customHeight="1">
      <c r="A33" s="2" t="s">
        <v>102</v>
      </c>
      <c r="C33" s="2">
        <v>-390746.52</v>
      </c>
    </row>
    <row r="34" spans="1:3" ht="60" customHeight="1">
      <c r="A34" s="1" t="s">
        <v>16</v>
      </c>
    </row>
    <row r="35" spans="1:3" ht="24" customHeight="1">
      <c r="A35" s="1" t="s">
        <v>13</v>
      </c>
    </row>
    <row r="36" spans="1:3" ht="37.5" customHeight="1">
      <c r="A36" s="1" t="s">
        <v>14</v>
      </c>
    </row>
    <row r="37" spans="1:3" ht="15.75">
      <c r="A37" s="1" t="s">
        <v>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66</vt:i4>
      </vt:variant>
    </vt:vector>
  </HeadingPairs>
  <TitlesOfParts>
    <vt:vector size="66" baseType="lpstr">
      <vt:lpstr>Б.П.27</vt:lpstr>
      <vt:lpstr>Б.П.25</vt:lpstr>
      <vt:lpstr>Б.П.21</vt:lpstr>
      <vt:lpstr>Б.П.15</vt:lpstr>
      <vt:lpstr>Б.П.5</vt:lpstr>
      <vt:lpstr>Б.П.3</vt:lpstr>
      <vt:lpstr>Б.П.1</vt:lpstr>
      <vt:lpstr>Косм62</vt:lpstr>
      <vt:lpstr>Косм.60</vt:lpstr>
      <vt:lpstr>Косм.56</vt:lpstr>
      <vt:lpstr>Косм.52</vt:lpstr>
      <vt:lpstr>Косм50</vt:lpstr>
      <vt:lpstr>Косм48</vt:lpstr>
      <vt:lpstr>Косм30</vt:lpstr>
      <vt:lpstr>Косм28</vt:lpstr>
      <vt:lpstr>Косм.26</vt:lpstr>
      <vt:lpstr>Косм24</vt:lpstr>
      <vt:lpstr>Косм22</vt:lpstr>
      <vt:lpstr>Косм22а</vt:lpstr>
      <vt:lpstr>Косм18</vt:lpstr>
      <vt:lpstr>Дом.15</vt:lpstr>
      <vt:lpstr>Дом.17</vt:lpstr>
      <vt:lpstr>Дом.63</vt:lpstr>
      <vt:lpstr>Дом61</vt:lpstr>
      <vt:lpstr>Дом59</vt:lpstr>
      <vt:lpstr>Дом.57</vt:lpstr>
      <vt:lpstr>Дом.55</vt:lpstr>
      <vt:lpstr>Дом.37</vt:lpstr>
      <vt:lpstr>Дом.35</vt:lpstr>
      <vt:lpstr>Дом.33</vt:lpstr>
      <vt:lpstr>Дом.31</vt:lpstr>
      <vt:lpstr>Дом.25</vt:lpstr>
      <vt:lpstr>Дом.19</vt:lpstr>
      <vt:lpstr>Дом75</vt:lpstr>
      <vt:lpstr>Дом.77</vt:lpstr>
      <vt:lpstr>Дом.45</vt:lpstr>
      <vt:lpstr>Дом.43</vt:lpstr>
      <vt:lpstr>Дом.79</vt:lpstr>
      <vt:lpstr>Крив.68</vt:lpstr>
      <vt:lpstr>Крив.70</vt:lpstr>
      <vt:lpstr>Г.С.105</vt:lpstr>
      <vt:lpstr>Г.С.103</vt:lpstr>
      <vt:lpstr>Г.С.101</vt:lpstr>
      <vt:lpstr>Г.С.99</vt:lpstr>
      <vt:lpstr>Г.С.89</vt:lpstr>
      <vt:lpstr>Г.С.87</vt:lpstr>
      <vt:lpstr>Марш.11</vt:lpstr>
      <vt:lpstr>Марш.18</vt:lpstr>
      <vt:lpstr>Ю.Я.24</vt:lpstr>
      <vt:lpstr>Ю.Я.15</vt:lpstr>
      <vt:lpstr>Ю,Я.14а</vt:lpstr>
      <vt:lpstr>Ю.Я.12а</vt:lpstr>
      <vt:lpstr>Ю.Я.102</vt:lpstr>
      <vt:lpstr>Ю.Я.10-1</vt:lpstr>
      <vt:lpstr>Ю.Я.8-2</vt:lpstr>
      <vt:lpstr>Ю.Я.8-1</vt:lpstr>
      <vt:lpstr>Вор.46</vt:lpstr>
      <vt:lpstr>Вор.44</vt:lpstr>
      <vt:lpstr>ВОР.42</vt:lpstr>
      <vt:lpstr>Вор.40</vt:lpstr>
      <vt:lpstr>Вор.38</vt:lpstr>
      <vt:lpstr>Вор.34</vt:lpstr>
      <vt:lpstr>Вор.28</vt:lpstr>
      <vt:lpstr>Вор.26</vt:lpstr>
      <vt:lpstr>Вор.24</vt:lpstr>
      <vt:lpstr>Лист51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2015-04-01T07:03:40Z</dcterms:modified>
</cp:coreProperties>
</file>