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62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59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6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10" windowWidth="13020" windowHeight="8010"/>
  </bookViews>
  <sheets>
    <sheet name="Вор.24" sheetId="1" r:id="rId1"/>
    <sheet name="Вор.46" sheetId="2" r:id="rId2"/>
    <sheet name="Вор.26" sheetId="3" r:id="rId3"/>
    <sheet name="Вор.28" sheetId="4" r:id="rId4"/>
    <sheet name="Вор.34" sheetId="5" r:id="rId5"/>
    <sheet name="Вор.38" sheetId="6" r:id="rId6"/>
    <sheet name="Вор.40" sheetId="7" r:id="rId7"/>
    <sheet name="Вор.42" sheetId="8" r:id="rId8"/>
    <sheet name="Вор.44" sheetId="9" r:id="rId9"/>
    <sheet name="Дом.43" sheetId="10" r:id="rId10"/>
    <sheet name="Дом.45" sheetId="11" r:id="rId11"/>
    <sheet name="Дом.55" sheetId="12" r:id="rId12"/>
    <sheet name="Дом.57" sheetId="13" r:id="rId13"/>
    <sheet name="Марш.18" sheetId="14" r:id="rId14"/>
    <sheet name="Марш.11" sheetId="15" r:id="rId15"/>
    <sheet name="Крив.70" sheetId="16" r:id="rId16"/>
    <sheet name="Крив68" sheetId="17" r:id="rId17"/>
    <sheet name="Г.Сиб.105" sheetId="18" r:id="rId18"/>
    <sheet name="Г.Сиб.103" sheetId="19" r:id="rId19"/>
    <sheet name="Г.Сиб.101" sheetId="20" r:id="rId20"/>
    <sheet name="Г.Сиб.99" sheetId="21" r:id="rId21"/>
    <sheet name="Г.Сиб.89" sheetId="22" r:id="rId22"/>
    <sheet name="Г.Сиб.87" sheetId="23" r:id="rId23"/>
    <sheet name="Ю.Янон.24" sheetId="24" r:id="rId24"/>
    <sheet name="Ю.Янон.15" sheetId="25" r:id="rId25"/>
    <sheet name="Ю.Янон.14а" sheetId="26" r:id="rId26"/>
    <sheet name="Ю.Янон.12а" sheetId="27" r:id="rId27"/>
    <sheet name="Ю.Ян.10,2" sheetId="28" r:id="rId28"/>
    <sheet name="Ю.Янон.10,1" sheetId="29" r:id="rId29"/>
    <sheet name="Ю.Янон.8,2" sheetId="30" r:id="rId30"/>
    <sheet name="Ю.Янон.8,1" sheetId="31" r:id="rId31"/>
    <sheet name="Дом.15" sheetId="32" r:id="rId32"/>
    <sheet name="Дом.17" sheetId="33" r:id="rId33"/>
    <sheet name="Дом.19" sheetId="34" r:id="rId34"/>
    <sheet name="Дом.25" sheetId="35" r:id="rId35"/>
    <sheet name="Дом.31" sheetId="36" r:id="rId36"/>
    <sheet name="Дом.33" sheetId="37" r:id="rId37"/>
    <sheet name="Дом.35" sheetId="38" r:id="rId38"/>
    <sheet name="Дом.37" sheetId="39" r:id="rId39"/>
    <sheet name="Дом.59" sheetId="40" r:id="rId40"/>
    <sheet name="Дом.61" sheetId="41" r:id="rId41"/>
    <sheet name="Дом.63" sheetId="42" r:id="rId42"/>
    <sheet name="Дом.75" sheetId="43" r:id="rId43"/>
    <sheet name="Дом.77" sheetId="44" r:id="rId44"/>
    <sheet name="Дом.79" sheetId="45" r:id="rId45"/>
    <sheet name="Б.П.1" sheetId="46" r:id="rId46"/>
    <sheet name="Б.П.3" sheetId="47" r:id="rId47"/>
    <sheet name="Б.П.5" sheetId="48" r:id="rId48"/>
    <sheet name="Б.П.15" sheetId="49" r:id="rId49"/>
    <sheet name="Б.П.21" sheetId="50" r:id="rId50"/>
    <sheet name="Б.П.25" sheetId="51" r:id="rId51"/>
    <sheet name="Б.П.27" sheetId="52" r:id="rId52"/>
    <sheet name="Косм.18" sheetId="53" r:id="rId53"/>
    <sheet name="Косм.22" sheetId="54" r:id="rId54"/>
    <sheet name="Косм.22а" sheetId="55" r:id="rId55"/>
    <sheet name="Косм.24" sheetId="56" r:id="rId56"/>
    <sheet name="Косм.26" sheetId="57" r:id="rId57"/>
    <sheet name="Косм.28" sheetId="58" r:id="rId58"/>
    <sheet name="Косм.30" sheetId="59" r:id="rId59"/>
    <sheet name="Косм.48" sheetId="60" r:id="rId60"/>
    <sheet name="Косм.50" sheetId="61" r:id="rId61"/>
    <sheet name="Косм.52" sheetId="62" r:id="rId62"/>
    <sheet name="Косм.56" sheetId="63" r:id="rId63"/>
    <sheet name="Косм.60" sheetId="64" r:id="rId64"/>
    <sheet name="Косм.62" sheetId="65" r:id="rId65"/>
    <sheet name="Лист1" sheetId="66" r:id="rId66"/>
  </sheets>
  <calcPr calcId="125725" refMode="R1C1"/>
</workbook>
</file>

<file path=xl/calcChain.xml><?xml version="1.0" encoding="utf-8"?>
<calcChain xmlns="http://schemas.openxmlformats.org/spreadsheetml/2006/main">
  <c r="C14" i="45"/>
  <c r="C13"/>
  <c r="C14" i="44"/>
  <c r="C13"/>
  <c r="C14" i="43"/>
  <c r="C13"/>
  <c r="C11"/>
  <c r="C10"/>
  <c r="B10"/>
  <c r="C14" i="42"/>
  <c r="C13"/>
  <c r="C14" i="41"/>
  <c r="C13"/>
  <c r="C14" i="40"/>
  <c r="C13"/>
  <c r="C28" i="13"/>
  <c r="C14"/>
  <c r="C13"/>
  <c r="C10"/>
  <c r="C14" i="12"/>
  <c r="C13"/>
  <c r="C14" i="11"/>
  <c r="C13"/>
  <c r="C10"/>
  <c r="C14" i="10"/>
  <c r="C13"/>
  <c r="C14" i="39"/>
  <c r="C13"/>
  <c r="C14" i="38"/>
  <c r="C13"/>
  <c r="C14" i="37"/>
  <c r="C13"/>
  <c r="C11"/>
  <c r="C10"/>
  <c r="C9"/>
  <c r="C14" i="36"/>
  <c r="C13"/>
  <c r="C10"/>
  <c r="C14" i="35"/>
  <c r="C13"/>
  <c r="C14" i="34"/>
  <c r="C13"/>
  <c r="C14" i="33"/>
  <c r="C13"/>
  <c r="C10"/>
  <c r="C14" i="32"/>
  <c r="C13"/>
  <c r="C14" i="18"/>
  <c r="C13"/>
  <c r="C10"/>
  <c r="C14" i="19"/>
  <c r="C13"/>
  <c r="C10"/>
  <c r="C14" i="20"/>
  <c r="C13"/>
  <c r="C14" i="21"/>
  <c r="C13"/>
  <c r="C10"/>
  <c r="C14" i="22"/>
  <c r="C13"/>
  <c r="C9"/>
  <c r="C14" i="23"/>
  <c r="C13"/>
  <c r="C10"/>
  <c r="C14" i="16"/>
  <c r="C13"/>
  <c r="C14" i="17"/>
  <c r="C13"/>
  <c r="C10"/>
  <c r="C14" i="24"/>
  <c r="C13"/>
  <c r="C10"/>
  <c r="C14" i="25"/>
  <c r="C13"/>
  <c r="C14" i="26"/>
  <c r="C13"/>
  <c r="C14" i="27"/>
  <c r="C13"/>
  <c r="C10"/>
  <c r="C14" i="28"/>
  <c r="C13"/>
  <c r="C10"/>
  <c r="C14" i="29"/>
  <c r="C13"/>
  <c r="C14" i="30"/>
  <c r="C13"/>
  <c r="C10"/>
  <c r="C14" i="31"/>
  <c r="C13"/>
  <c r="C10"/>
  <c r="C14" i="14"/>
  <c r="C13"/>
  <c r="C10"/>
  <c r="C11" i="15"/>
  <c r="C14"/>
  <c r="C13"/>
  <c r="C14" i="52"/>
  <c r="C13"/>
  <c r="C10"/>
  <c r="C14" i="51"/>
  <c r="C13"/>
  <c r="C14" i="50"/>
  <c r="C13"/>
  <c r="C10"/>
  <c r="C14" i="49"/>
  <c r="C13"/>
  <c r="C14" i="48"/>
  <c r="C13"/>
  <c r="C10"/>
  <c r="C14" i="47"/>
  <c r="C13"/>
  <c r="C14" i="46"/>
  <c r="C13"/>
  <c r="C10"/>
  <c r="C14" i="64"/>
  <c r="C13"/>
  <c r="C10"/>
  <c r="C14" i="65"/>
  <c r="C13"/>
  <c r="C14" i="62"/>
  <c r="C13"/>
  <c r="C10" i="63"/>
  <c r="C10" i="54"/>
  <c r="B10" s="1"/>
  <c r="C10" i="55"/>
  <c r="C10" i="53"/>
  <c r="C10" i="3"/>
  <c r="C11" i="1"/>
  <c r="B9" i="64"/>
  <c r="C14" i="63"/>
  <c r="C13"/>
  <c r="B9"/>
  <c r="C14" i="61"/>
  <c r="C13"/>
  <c r="C9"/>
  <c r="C14" i="60"/>
  <c r="C13"/>
  <c r="C14" i="59"/>
  <c r="C13"/>
  <c r="C9"/>
  <c r="C14" i="58"/>
  <c r="C13"/>
  <c r="C9"/>
  <c r="C14" i="57"/>
  <c r="C13"/>
  <c r="C14" i="56"/>
  <c r="C13"/>
  <c r="C9"/>
  <c r="C11" s="1"/>
  <c r="B11" s="1"/>
  <c r="C14" i="54"/>
  <c r="C13"/>
  <c r="C14" i="55"/>
  <c r="C13"/>
  <c r="C14" i="53"/>
  <c r="C13"/>
  <c r="C15" i="2"/>
  <c r="C14"/>
  <c r="C14" i="9"/>
  <c r="C13"/>
  <c r="C14" i="8"/>
  <c r="C13"/>
  <c r="C9"/>
  <c r="C14" i="7"/>
  <c r="C13"/>
  <c r="C14" i="6"/>
  <c r="C13"/>
  <c r="C9"/>
  <c r="C14" i="5"/>
  <c r="C13"/>
  <c r="C14" i="4"/>
  <c r="C13"/>
  <c r="C9"/>
  <c r="C13" i="3"/>
  <c r="C14"/>
  <c r="C15" i="1"/>
  <c r="C14"/>
  <c r="C11" i="19"/>
  <c r="B10" i="23"/>
  <c r="B10" i="65"/>
  <c r="B12"/>
  <c r="B13"/>
  <c r="B14"/>
  <c r="B15"/>
  <c r="B16"/>
  <c r="B17"/>
  <c r="B18"/>
  <c r="B19"/>
  <c r="B20"/>
  <c r="B21"/>
  <c r="B22"/>
  <c r="B23"/>
  <c r="B24"/>
  <c r="B25"/>
  <c r="B26"/>
  <c r="B27"/>
  <c r="B9"/>
  <c r="C28"/>
  <c r="B28" s="1"/>
  <c r="C11"/>
  <c r="B11" s="1"/>
  <c r="B10" i="64"/>
  <c r="B12"/>
  <c r="B13"/>
  <c r="B14"/>
  <c r="B15"/>
  <c r="B16"/>
  <c r="B17"/>
  <c r="B18"/>
  <c r="B19"/>
  <c r="B20"/>
  <c r="B21"/>
  <c r="B22"/>
  <c r="B23"/>
  <c r="B24"/>
  <c r="B25"/>
  <c r="B26"/>
  <c r="B27"/>
  <c r="C28"/>
  <c r="B28" s="1"/>
  <c r="C11"/>
  <c r="B11" s="1"/>
  <c r="B10" i="63"/>
  <c r="B12"/>
  <c r="B13"/>
  <c r="B14"/>
  <c r="B15"/>
  <c r="B16"/>
  <c r="B17"/>
  <c r="B18"/>
  <c r="B19"/>
  <c r="B20"/>
  <c r="B21"/>
  <c r="B22"/>
  <c r="B23"/>
  <c r="B24"/>
  <c r="B25"/>
  <c r="B26"/>
  <c r="B27"/>
  <c r="C32"/>
  <c r="C28"/>
  <c r="B28" s="1"/>
  <c r="C11"/>
  <c r="B11" s="1"/>
  <c r="B10" i="62"/>
  <c r="B12"/>
  <c r="B13"/>
  <c r="B14"/>
  <c r="B15"/>
  <c r="B16"/>
  <c r="B17"/>
  <c r="B18"/>
  <c r="B19"/>
  <c r="B20"/>
  <c r="B21"/>
  <c r="B22"/>
  <c r="B23"/>
  <c r="B24"/>
  <c r="B25"/>
  <c r="B26"/>
  <c r="B27"/>
  <c r="B9"/>
  <c r="C28"/>
  <c r="B28" s="1"/>
  <c r="C11"/>
  <c r="B11" s="1"/>
  <c r="B10" i="61"/>
  <c r="B12"/>
  <c r="B13"/>
  <c r="B14"/>
  <c r="B15"/>
  <c r="B16"/>
  <c r="B17"/>
  <c r="B18"/>
  <c r="B19"/>
  <c r="B20"/>
  <c r="B21"/>
  <c r="B22"/>
  <c r="B23"/>
  <c r="B24"/>
  <c r="B25"/>
  <c r="B26"/>
  <c r="B27"/>
  <c r="B9"/>
  <c r="C28"/>
  <c r="B28" s="1"/>
  <c r="C11"/>
  <c r="B11" s="1"/>
  <c r="B10" i="60"/>
  <c r="B12"/>
  <c r="B13"/>
  <c r="B14"/>
  <c r="B15"/>
  <c r="B16"/>
  <c r="B17"/>
  <c r="B18"/>
  <c r="B19"/>
  <c r="B20"/>
  <c r="B21"/>
  <c r="B22"/>
  <c r="B23"/>
  <c r="B24"/>
  <c r="B25"/>
  <c r="B26"/>
  <c r="B27"/>
  <c r="B9"/>
  <c r="C28"/>
  <c r="B28" s="1"/>
  <c r="C11"/>
  <c r="B11" s="1"/>
  <c r="B10" i="59"/>
  <c r="B12"/>
  <c r="B13"/>
  <c r="B14"/>
  <c r="B15"/>
  <c r="B16"/>
  <c r="B17"/>
  <c r="B18"/>
  <c r="B19"/>
  <c r="B20"/>
  <c r="B21"/>
  <c r="B22"/>
  <c r="B23"/>
  <c r="B24"/>
  <c r="B25"/>
  <c r="B26"/>
  <c r="B27"/>
  <c r="B9"/>
  <c r="C28"/>
  <c r="B28" s="1"/>
  <c r="C11"/>
  <c r="B11" s="1"/>
  <c r="B10" i="58"/>
  <c r="B12"/>
  <c r="B13"/>
  <c r="B14"/>
  <c r="B15"/>
  <c r="B16"/>
  <c r="B17"/>
  <c r="B18"/>
  <c r="B19"/>
  <c r="B20"/>
  <c r="B21"/>
  <c r="B22"/>
  <c r="B23"/>
  <c r="B24"/>
  <c r="B25"/>
  <c r="B26"/>
  <c r="B27"/>
  <c r="B9"/>
  <c r="C28"/>
  <c r="B28" s="1"/>
  <c r="C11"/>
  <c r="B11" s="1"/>
  <c r="B10" i="57"/>
  <c r="B12"/>
  <c r="B13"/>
  <c r="B14"/>
  <c r="B15"/>
  <c r="B16"/>
  <c r="B17"/>
  <c r="B18"/>
  <c r="B19"/>
  <c r="B20"/>
  <c r="B21"/>
  <c r="B22"/>
  <c r="B23"/>
  <c r="B24"/>
  <c r="B25"/>
  <c r="B26"/>
  <c r="B27"/>
  <c r="B9"/>
  <c r="C28"/>
  <c r="B28" s="1"/>
  <c r="C11"/>
  <c r="B11" s="1"/>
  <c r="B10" i="56"/>
  <c r="B12"/>
  <c r="B13"/>
  <c r="B14"/>
  <c r="B15"/>
  <c r="B16"/>
  <c r="B17"/>
  <c r="B18"/>
  <c r="B19"/>
  <c r="B20"/>
  <c r="B21"/>
  <c r="B22"/>
  <c r="B23"/>
  <c r="B24"/>
  <c r="B25"/>
  <c r="B26"/>
  <c r="B27"/>
  <c r="C28"/>
  <c r="B28" s="1"/>
  <c r="B10" i="55"/>
  <c r="B12"/>
  <c r="B13"/>
  <c r="B14"/>
  <c r="B15"/>
  <c r="B16"/>
  <c r="B17"/>
  <c r="B18"/>
  <c r="B19"/>
  <c r="B20"/>
  <c r="B21"/>
  <c r="B22"/>
  <c r="B23"/>
  <c r="B24"/>
  <c r="B25"/>
  <c r="B26"/>
  <c r="B27"/>
  <c r="B9"/>
  <c r="C28"/>
  <c r="B28" s="1"/>
  <c r="C11"/>
  <c r="B11" s="1"/>
  <c r="B12" i="54"/>
  <c r="B13"/>
  <c r="B14"/>
  <c r="B15"/>
  <c r="B16"/>
  <c r="B17"/>
  <c r="B18"/>
  <c r="B19"/>
  <c r="B20"/>
  <c r="B21"/>
  <c r="B22"/>
  <c r="B23"/>
  <c r="B24"/>
  <c r="B25"/>
  <c r="B26"/>
  <c r="B27"/>
  <c r="B9"/>
  <c r="C28"/>
  <c r="B28" s="1"/>
  <c r="C11"/>
  <c r="B11" s="1"/>
  <c r="B10" i="53"/>
  <c r="B12"/>
  <c r="B13"/>
  <c r="B14"/>
  <c r="B15"/>
  <c r="B16"/>
  <c r="B17"/>
  <c r="B18"/>
  <c r="B19"/>
  <c r="B20"/>
  <c r="B21"/>
  <c r="B22"/>
  <c r="B23"/>
  <c r="B24"/>
  <c r="B25"/>
  <c r="B26"/>
  <c r="B27"/>
  <c r="B9"/>
  <c r="C28"/>
  <c r="B28" s="1"/>
  <c r="C11"/>
  <c r="B11" s="1"/>
  <c r="B10" i="52"/>
  <c r="B12"/>
  <c r="B13"/>
  <c r="B14"/>
  <c r="B15"/>
  <c r="B16"/>
  <c r="B17"/>
  <c r="B18"/>
  <c r="B19"/>
  <c r="B20"/>
  <c r="B21"/>
  <c r="B22"/>
  <c r="B23"/>
  <c r="B24"/>
  <c r="B25"/>
  <c r="B26"/>
  <c r="B27"/>
  <c r="B9"/>
  <c r="C28"/>
  <c r="B28" s="1"/>
  <c r="C11"/>
  <c r="B11" s="1"/>
  <c r="B10" i="51"/>
  <c r="B12"/>
  <c r="B13"/>
  <c r="B14"/>
  <c r="B15"/>
  <c r="B16"/>
  <c r="B17"/>
  <c r="B18"/>
  <c r="B19"/>
  <c r="B20"/>
  <c r="B21"/>
  <c r="B22"/>
  <c r="B23"/>
  <c r="B24"/>
  <c r="B25"/>
  <c r="B26"/>
  <c r="B27"/>
  <c r="B9"/>
  <c r="C28"/>
  <c r="B28" s="1"/>
  <c r="C11"/>
  <c r="B11" s="1"/>
  <c r="B10" i="50"/>
  <c r="B12"/>
  <c r="B13"/>
  <c r="B14"/>
  <c r="B15"/>
  <c r="B16"/>
  <c r="B17"/>
  <c r="B18"/>
  <c r="B19"/>
  <c r="B20"/>
  <c r="B21"/>
  <c r="B22"/>
  <c r="B23"/>
  <c r="B24"/>
  <c r="B25"/>
  <c r="B26"/>
  <c r="B27"/>
  <c r="B9"/>
  <c r="C28"/>
  <c r="B28" s="1"/>
  <c r="C11"/>
  <c r="B11" s="1"/>
  <c r="B10" i="49"/>
  <c r="B12"/>
  <c r="B13"/>
  <c r="B14"/>
  <c r="B15"/>
  <c r="B16"/>
  <c r="B17"/>
  <c r="B18"/>
  <c r="B19"/>
  <c r="B20"/>
  <c r="B21"/>
  <c r="B22"/>
  <c r="B23"/>
  <c r="B24"/>
  <c r="B25"/>
  <c r="B26"/>
  <c r="B27"/>
  <c r="B9"/>
  <c r="C28"/>
  <c r="B28" s="1"/>
  <c r="C11"/>
  <c r="B11" s="1"/>
  <c r="B10" i="48"/>
  <c r="B12"/>
  <c r="B13"/>
  <c r="B14"/>
  <c r="B15"/>
  <c r="B16"/>
  <c r="B17"/>
  <c r="B18"/>
  <c r="B19"/>
  <c r="B20"/>
  <c r="B21"/>
  <c r="B22"/>
  <c r="B23"/>
  <c r="B24"/>
  <c r="B25"/>
  <c r="B26"/>
  <c r="B27"/>
  <c r="B9"/>
  <c r="C28"/>
  <c r="B28" s="1"/>
  <c r="C11"/>
  <c r="B11" s="1"/>
  <c r="B10" i="47"/>
  <c r="B12"/>
  <c r="B13"/>
  <c r="B14"/>
  <c r="B15"/>
  <c r="B16"/>
  <c r="B17"/>
  <c r="B18"/>
  <c r="B19"/>
  <c r="B20"/>
  <c r="B21"/>
  <c r="B22"/>
  <c r="B23"/>
  <c r="B24"/>
  <c r="B25"/>
  <c r="B26"/>
  <c r="B27"/>
  <c r="B9"/>
  <c r="C28"/>
  <c r="B28" s="1"/>
  <c r="C11"/>
  <c r="B11" s="1"/>
  <c r="B10" i="46"/>
  <c r="B12"/>
  <c r="B13"/>
  <c r="B14"/>
  <c r="B15"/>
  <c r="B16"/>
  <c r="B17"/>
  <c r="B18"/>
  <c r="B19"/>
  <c r="B20"/>
  <c r="B21"/>
  <c r="B22"/>
  <c r="B23"/>
  <c r="B24"/>
  <c r="B25"/>
  <c r="B26"/>
  <c r="B27"/>
  <c r="B9"/>
  <c r="C28"/>
  <c r="B28" s="1"/>
  <c r="C11"/>
  <c r="B11" s="1"/>
  <c r="B10" i="45"/>
  <c r="B12"/>
  <c r="B13"/>
  <c r="B14"/>
  <c r="B15"/>
  <c r="B16"/>
  <c r="B17"/>
  <c r="B18"/>
  <c r="B19"/>
  <c r="B20"/>
  <c r="B21"/>
  <c r="B22"/>
  <c r="B23"/>
  <c r="B24"/>
  <c r="B25"/>
  <c r="B26"/>
  <c r="B27"/>
  <c r="B9"/>
  <c r="C28"/>
  <c r="B28" s="1"/>
  <c r="C11"/>
  <c r="B11" s="1"/>
  <c r="B10" i="44"/>
  <c r="B12"/>
  <c r="B13"/>
  <c r="B14"/>
  <c r="B15"/>
  <c r="B16"/>
  <c r="B17"/>
  <c r="B18"/>
  <c r="B19"/>
  <c r="B20"/>
  <c r="B21"/>
  <c r="B22"/>
  <c r="B23"/>
  <c r="B24"/>
  <c r="B25"/>
  <c r="B26"/>
  <c r="B27"/>
  <c r="B9"/>
  <c r="C28"/>
  <c r="B28" s="1"/>
  <c r="C11"/>
  <c r="B11" s="1"/>
  <c r="B12" i="43"/>
  <c r="B13"/>
  <c r="B14"/>
  <c r="B15"/>
  <c r="B16"/>
  <c r="B17"/>
  <c r="B18"/>
  <c r="B19"/>
  <c r="B20"/>
  <c r="B21"/>
  <c r="B22"/>
  <c r="B23"/>
  <c r="B24"/>
  <c r="B25"/>
  <c r="B26"/>
  <c r="B27"/>
  <c r="B9"/>
  <c r="C28"/>
  <c r="B28" s="1"/>
  <c r="B10" i="42"/>
  <c r="B12"/>
  <c r="B13"/>
  <c r="B14"/>
  <c r="B15"/>
  <c r="B16"/>
  <c r="B17"/>
  <c r="B18"/>
  <c r="B19"/>
  <c r="B20"/>
  <c r="B21"/>
  <c r="B22"/>
  <c r="B23"/>
  <c r="B24"/>
  <c r="B25"/>
  <c r="B26"/>
  <c r="B27"/>
  <c r="B9"/>
  <c r="C28"/>
  <c r="B28" s="1"/>
  <c r="C11"/>
  <c r="B11" s="1"/>
  <c r="B10" i="41"/>
  <c r="B12"/>
  <c r="B13"/>
  <c r="B14"/>
  <c r="B15"/>
  <c r="B16"/>
  <c r="B17"/>
  <c r="B18"/>
  <c r="B19"/>
  <c r="B20"/>
  <c r="B21"/>
  <c r="B22"/>
  <c r="B23"/>
  <c r="B24"/>
  <c r="B25"/>
  <c r="B26"/>
  <c r="B27"/>
  <c r="B9"/>
  <c r="C28"/>
  <c r="B28" s="1"/>
  <c r="C11"/>
  <c r="B11" s="1"/>
  <c r="B10" i="40"/>
  <c r="B12"/>
  <c r="B13"/>
  <c r="B14"/>
  <c r="B15"/>
  <c r="B16"/>
  <c r="B17"/>
  <c r="B18"/>
  <c r="B19"/>
  <c r="B20"/>
  <c r="B21"/>
  <c r="B22"/>
  <c r="B23"/>
  <c r="B24"/>
  <c r="B25"/>
  <c r="B26"/>
  <c r="B27"/>
  <c r="B9"/>
  <c r="C28"/>
  <c r="C11"/>
  <c r="B11" s="1"/>
  <c r="B10" i="39"/>
  <c r="B12"/>
  <c r="B13"/>
  <c r="B14"/>
  <c r="B15"/>
  <c r="B16"/>
  <c r="B17"/>
  <c r="B18"/>
  <c r="B19"/>
  <c r="B20"/>
  <c r="B21"/>
  <c r="B22"/>
  <c r="B23"/>
  <c r="B24"/>
  <c r="B25"/>
  <c r="B26"/>
  <c r="B27"/>
  <c r="B9"/>
  <c r="C28"/>
  <c r="B28" s="1"/>
  <c r="C11"/>
  <c r="B11" s="1"/>
  <c r="B10" i="38"/>
  <c r="B12"/>
  <c r="B13"/>
  <c r="B14"/>
  <c r="B15"/>
  <c r="B16"/>
  <c r="B17"/>
  <c r="B18"/>
  <c r="B19"/>
  <c r="B20"/>
  <c r="B21"/>
  <c r="B22"/>
  <c r="B23"/>
  <c r="B24"/>
  <c r="B25"/>
  <c r="B26"/>
  <c r="B27"/>
  <c r="B9"/>
  <c r="C28"/>
  <c r="B28" s="1"/>
  <c r="C11"/>
  <c r="B11" s="1"/>
  <c r="B10" i="37"/>
  <c r="B12"/>
  <c r="B13"/>
  <c r="B14"/>
  <c r="B15"/>
  <c r="B16"/>
  <c r="B17"/>
  <c r="B18"/>
  <c r="B19"/>
  <c r="B20"/>
  <c r="B21"/>
  <c r="B22"/>
  <c r="B23"/>
  <c r="B24"/>
  <c r="B25"/>
  <c r="B26"/>
  <c r="B27"/>
  <c r="B9"/>
  <c r="C28"/>
  <c r="B28" s="1"/>
  <c r="B11"/>
  <c r="B10" i="36"/>
  <c r="B12"/>
  <c r="B13"/>
  <c r="B14"/>
  <c r="B15"/>
  <c r="B16"/>
  <c r="B17"/>
  <c r="B18"/>
  <c r="B19"/>
  <c r="B20"/>
  <c r="B21"/>
  <c r="B22"/>
  <c r="B23"/>
  <c r="B24"/>
  <c r="B25"/>
  <c r="B26"/>
  <c r="B27"/>
  <c r="B9"/>
  <c r="C28"/>
  <c r="B28" s="1"/>
  <c r="C11"/>
  <c r="B11" s="1"/>
  <c r="B10" i="35"/>
  <c r="B12"/>
  <c r="B13"/>
  <c r="B14"/>
  <c r="B15"/>
  <c r="B16"/>
  <c r="B17"/>
  <c r="B18"/>
  <c r="B19"/>
  <c r="B20"/>
  <c r="B21"/>
  <c r="B22"/>
  <c r="B23"/>
  <c r="B24"/>
  <c r="B25"/>
  <c r="B26"/>
  <c r="B27"/>
  <c r="B9"/>
  <c r="C28"/>
  <c r="B28" s="1"/>
  <c r="C11"/>
  <c r="B11" s="1"/>
  <c r="B10" i="34"/>
  <c r="B12"/>
  <c r="B13"/>
  <c r="B14"/>
  <c r="B15"/>
  <c r="B16"/>
  <c r="B17"/>
  <c r="B18"/>
  <c r="B19"/>
  <c r="B20"/>
  <c r="B21"/>
  <c r="B22"/>
  <c r="B23"/>
  <c r="B24"/>
  <c r="B25"/>
  <c r="B26"/>
  <c r="B27"/>
  <c r="B9"/>
  <c r="C28"/>
  <c r="B28" s="1"/>
  <c r="C11"/>
  <c r="B11" s="1"/>
  <c r="B10" i="33"/>
  <c r="B12"/>
  <c r="B13"/>
  <c r="B14"/>
  <c r="B15"/>
  <c r="B16"/>
  <c r="B17"/>
  <c r="B18"/>
  <c r="B19"/>
  <c r="B20"/>
  <c r="B21"/>
  <c r="B22"/>
  <c r="B23"/>
  <c r="B24"/>
  <c r="B25"/>
  <c r="B26"/>
  <c r="B27"/>
  <c r="B9"/>
  <c r="C28"/>
  <c r="B28" s="1"/>
  <c r="C11"/>
  <c r="B11" s="1"/>
  <c r="B10" i="32"/>
  <c r="B12"/>
  <c r="B13"/>
  <c r="B14"/>
  <c r="B15"/>
  <c r="B16"/>
  <c r="B17"/>
  <c r="B18"/>
  <c r="B19"/>
  <c r="B20"/>
  <c r="B21"/>
  <c r="B22"/>
  <c r="B23"/>
  <c r="B24"/>
  <c r="B25"/>
  <c r="B26"/>
  <c r="B27"/>
  <c r="B9"/>
  <c r="C28"/>
  <c r="B28" s="1"/>
  <c r="C11"/>
  <c r="B11" s="1"/>
  <c r="B10" i="31"/>
  <c r="B12"/>
  <c r="B13"/>
  <c r="B14"/>
  <c r="B15"/>
  <c r="B16"/>
  <c r="B17"/>
  <c r="B18"/>
  <c r="B19"/>
  <c r="B20"/>
  <c r="B21"/>
  <c r="B22"/>
  <c r="B23"/>
  <c r="B24"/>
  <c r="B25"/>
  <c r="B26"/>
  <c r="B27"/>
  <c r="B9"/>
  <c r="C28"/>
  <c r="B28" s="1"/>
  <c r="C11"/>
  <c r="B11" s="1"/>
  <c r="B10" i="30"/>
  <c r="B12"/>
  <c r="B13"/>
  <c r="B14"/>
  <c r="B15"/>
  <c r="B16"/>
  <c r="B17"/>
  <c r="B18"/>
  <c r="B19"/>
  <c r="B20"/>
  <c r="B21"/>
  <c r="B22"/>
  <c r="B23"/>
  <c r="B24"/>
  <c r="B25"/>
  <c r="B26"/>
  <c r="B27"/>
  <c r="B9"/>
  <c r="C28"/>
  <c r="B28" s="1"/>
  <c r="C11"/>
  <c r="B11" s="1"/>
  <c r="B10" i="29"/>
  <c r="B12"/>
  <c r="B13"/>
  <c r="B14"/>
  <c r="B15"/>
  <c r="B16"/>
  <c r="B17"/>
  <c r="B18"/>
  <c r="B19"/>
  <c r="B20"/>
  <c r="B21"/>
  <c r="B22"/>
  <c r="B23"/>
  <c r="B24"/>
  <c r="B25"/>
  <c r="B26"/>
  <c r="B27"/>
  <c r="B9"/>
  <c r="C28"/>
  <c r="B28" s="1"/>
  <c r="C11"/>
  <c r="B11" s="1"/>
  <c r="B10" i="28"/>
  <c r="B12"/>
  <c r="B13"/>
  <c r="B14"/>
  <c r="B15"/>
  <c r="B16"/>
  <c r="B17"/>
  <c r="B18"/>
  <c r="B19"/>
  <c r="B20"/>
  <c r="B21"/>
  <c r="B22"/>
  <c r="B23"/>
  <c r="B24"/>
  <c r="B25"/>
  <c r="B26"/>
  <c r="B27"/>
  <c r="B9"/>
  <c r="C28"/>
  <c r="B28" s="1"/>
  <c r="C11"/>
  <c r="B11" s="1"/>
  <c r="B10" i="27"/>
  <c r="B12"/>
  <c r="B13"/>
  <c r="B14"/>
  <c r="B15"/>
  <c r="B16"/>
  <c r="B17"/>
  <c r="B18"/>
  <c r="B19"/>
  <c r="B20"/>
  <c r="B21"/>
  <c r="B22"/>
  <c r="B23"/>
  <c r="B24"/>
  <c r="B25"/>
  <c r="B26"/>
  <c r="B27"/>
  <c r="B9"/>
  <c r="C28"/>
  <c r="B28" s="1"/>
  <c r="C11"/>
  <c r="B11" s="1"/>
  <c r="B10" i="26"/>
  <c r="B12"/>
  <c r="B13"/>
  <c r="B14"/>
  <c r="B15"/>
  <c r="B16"/>
  <c r="B17"/>
  <c r="B18"/>
  <c r="B19"/>
  <c r="B20"/>
  <c r="B21"/>
  <c r="B22"/>
  <c r="B23"/>
  <c r="B24"/>
  <c r="B25"/>
  <c r="B26"/>
  <c r="B27"/>
  <c r="B9"/>
  <c r="C28"/>
  <c r="B28" s="1"/>
  <c r="C11"/>
  <c r="B11" s="1"/>
  <c r="B10" i="25"/>
  <c r="B12"/>
  <c r="B13"/>
  <c r="B14"/>
  <c r="B15"/>
  <c r="B16"/>
  <c r="B17"/>
  <c r="B18"/>
  <c r="B19"/>
  <c r="B20"/>
  <c r="B21"/>
  <c r="B22"/>
  <c r="B23"/>
  <c r="B24"/>
  <c r="B25"/>
  <c r="B26"/>
  <c r="B27"/>
  <c r="B9"/>
  <c r="C28"/>
  <c r="B28" s="1"/>
  <c r="C11"/>
  <c r="B11" s="1"/>
  <c r="B10" i="24"/>
  <c r="B12"/>
  <c r="B13"/>
  <c r="B14"/>
  <c r="B15"/>
  <c r="B16"/>
  <c r="B17"/>
  <c r="B18"/>
  <c r="B19"/>
  <c r="B20"/>
  <c r="B21"/>
  <c r="B22"/>
  <c r="B23"/>
  <c r="B24"/>
  <c r="B25"/>
  <c r="B26"/>
  <c r="B27"/>
  <c r="B9"/>
  <c r="C28"/>
  <c r="B28" s="1"/>
  <c r="C11"/>
  <c r="B11" s="1"/>
  <c r="B9" i="23"/>
  <c r="B14"/>
  <c r="B15"/>
  <c r="B16"/>
  <c r="B17"/>
  <c r="B18"/>
  <c r="B19"/>
  <c r="B20"/>
  <c r="B21"/>
  <c r="B22"/>
  <c r="B23"/>
  <c r="B24"/>
  <c r="B25"/>
  <c r="B26"/>
  <c r="B27"/>
  <c r="B13"/>
  <c r="C28"/>
  <c r="B28" s="1"/>
  <c r="C11"/>
  <c r="B11" s="1"/>
  <c r="B10" i="22"/>
  <c r="B12"/>
  <c r="B13"/>
  <c r="B14"/>
  <c r="B15"/>
  <c r="B16"/>
  <c r="B17"/>
  <c r="B18"/>
  <c r="B19"/>
  <c r="B20"/>
  <c r="B21"/>
  <c r="B22"/>
  <c r="B23"/>
  <c r="B24"/>
  <c r="B25"/>
  <c r="B26"/>
  <c r="B27"/>
  <c r="B9"/>
  <c r="C28"/>
  <c r="B28" s="1"/>
  <c r="C11"/>
  <c r="B11" s="1"/>
  <c r="B10" i="21"/>
  <c r="B12"/>
  <c r="B13"/>
  <c r="B14"/>
  <c r="B15"/>
  <c r="B16"/>
  <c r="B17"/>
  <c r="B18"/>
  <c r="B19"/>
  <c r="B20"/>
  <c r="B21"/>
  <c r="B22"/>
  <c r="B23"/>
  <c r="B24"/>
  <c r="B25"/>
  <c r="B26"/>
  <c r="B27"/>
  <c r="B9"/>
  <c r="C28"/>
  <c r="B28" s="1"/>
  <c r="C11"/>
  <c r="B11" s="1"/>
  <c r="B10" i="20"/>
  <c r="B12"/>
  <c r="B13"/>
  <c r="B14"/>
  <c r="B15"/>
  <c r="B16"/>
  <c r="B17"/>
  <c r="B18"/>
  <c r="B19"/>
  <c r="B20"/>
  <c r="B21"/>
  <c r="B22"/>
  <c r="B23"/>
  <c r="B24"/>
  <c r="B25"/>
  <c r="B26"/>
  <c r="B27"/>
  <c r="B9"/>
  <c r="C28"/>
  <c r="B28" s="1"/>
  <c r="C11"/>
  <c r="B11" s="1"/>
  <c r="B10" i="19"/>
  <c r="B11"/>
  <c r="B12"/>
  <c r="B13"/>
  <c r="B14"/>
  <c r="B15"/>
  <c r="B16"/>
  <c r="B17"/>
  <c r="B18"/>
  <c r="B19"/>
  <c r="B20"/>
  <c r="B21"/>
  <c r="B22"/>
  <c r="B23"/>
  <c r="B24"/>
  <c r="B25"/>
  <c r="B26"/>
  <c r="B27"/>
  <c r="B9"/>
  <c r="C28"/>
  <c r="B28" s="1"/>
  <c r="B10" i="18"/>
  <c r="B12"/>
  <c r="B13"/>
  <c r="B14"/>
  <c r="B15"/>
  <c r="B16"/>
  <c r="B17"/>
  <c r="B18"/>
  <c r="B19"/>
  <c r="B20"/>
  <c r="B21"/>
  <c r="B22"/>
  <c r="B23"/>
  <c r="B24"/>
  <c r="B25"/>
  <c r="B26"/>
  <c r="B27"/>
  <c r="B9"/>
  <c r="C28"/>
  <c r="B28" s="1"/>
  <c r="C11"/>
  <c r="B11" s="1"/>
  <c r="B10" i="17"/>
  <c r="B12"/>
  <c r="B13"/>
  <c r="B14"/>
  <c r="B15"/>
  <c r="B16"/>
  <c r="B17"/>
  <c r="B18"/>
  <c r="B19"/>
  <c r="B20"/>
  <c r="B21"/>
  <c r="B22"/>
  <c r="B23"/>
  <c r="B24"/>
  <c r="B25"/>
  <c r="B26"/>
  <c r="B27"/>
  <c r="B9"/>
  <c r="C28"/>
  <c r="B28" s="1"/>
  <c r="C11"/>
  <c r="B11" s="1"/>
  <c r="B10" i="16"/>
  <c r="B12"/>
  <c r="B13"/>
  <c r="B14"/>
  <c r="B15"/>
  <c r="B16"/>
  <c r="B17"/>
  <c r="B18"/>
  <c r="B19"/>
  <c r="B20"/>
  <c r="B21"/>
  <c r="B22"/>
  <c r="B23"/>
  <c r="B24"/>
  <c r="B25"/>
  <c r="B26"/>
  <c r="B27"/>
  <c r="B9"/>
  <c r="C28"/>
  <c r="B28" s="1"/>
  <c r="C11"/>
  <c r="B11" s="1"/>
  <c r="B10" i="15"/>
  <c r="B12"/>
  <c r="B13"/>
  <c r="B14"/>
  <c r="B15"/>
  <c r="B16"/>
  <c r="B17"/>
  <c r="B18"/>
  <c r="B19"/>
  <c r="B20"/>
  <c r="B21"/>
  <c r="B22"/>
  <c r="B23"/>
  <c r="B24"/>
  <c r="B25"/>
  <c r="B26"/>
  <c r="B27"/>
  <c r="B9"/>
  <c r="C28"/>
  <c r="B28" s="1"/>
  <c r="B11"/>
  <c r="B10" i="14"/>
  <c r="B12"/>
  <c r="B13"/>
  <c r="B14"/>
  <c r="B15"/>
  <c r="B16"/>
  <c r="B17"/>
  <c r="B18"/>
  <c r="B19"/>
  <c r="B20"/>
  <c r="B21"/>
  <c r="B22"/>
  <c r="B23"/>
  <c r="B24"/>
  <c r="B25"/>
  <c r="B26"/>
  <c r="B27"/>
  <c r="B9"/>
  <c r="C28"/>
  <c r="B28" s="1"/>
  <c r="C11"/>
  <c r="B11" s="1"/>
  <c r="B10" i="13"/>
  <c r="B12"/>
  <c r="B13"/>
  <c r="B14"/>
  <c r="B15"/>
  <c r="B16"/>
  <c r="B17"/>
  <c r="B18"/>
  <c r="B19"/>
  <c r="B20"/>
  <c r="B21"/>
  <c r="B22"/>
  <c r="B23"/>
  <c r="B24"/>
  <c r="B25"/>
  <c r="B26"/>
  <c r="B27"/>
  <c r="B9"/>
  <c r="B28"/>
  <c r="C11"/>
  <c r="B11" s="1"/>
  <c r="B10" i="12"/>
  <c r="B12"/>
  <c r="B13"/>
  <c r="B14"/>
  <c r="B15"/>
  <c r="B16"/>
  <c r="B17"/>
  <c r="B18"/>
  <c r="B19"/>
  <c r="B20"/>
  <c r="B21"/>
  <c r="B22"/>
  <c r="B23"/>
  <c r="B24"/>
  <c r="B25"/>
  <c r="B26"/>
  <c r="B27"/>
  <c r="B9"/>
  <c r="C28"/>
  <c r="B28" s="1"/>
  <c r="C11"/>
  <c r="B11" s="1"/>
  <c r="B10" i="11"/>
  <c r="B12"/>
  <c r="B13"/>
  <c r="B14"/>
  <c r="B15"/>
  <c r="B16"/>
  <c r="B17"/>
  <c r="B18"/>
  <c r="B19"/>
  <c r="B20"/>
  <c r="B21"/>
  <c r="B22"/>
  <c r="B23"/>
  <c r="B24"/>
  <c r="B25"/>
  <c r="B26"/>
  <c r="B27"/>
  <c r="B9"/>
  <c r="C28"/>
  <c r="B28" s="1"/>
  <c r="C11"/>
  <c r="B11" s="1"/>
  <c r="B10" i="10"/>
  <c r="B12"/>
  <c r="B13"/>
  <c r="B14"/>
  <c r="B15"/>
  <c r="B16"/>
  <c r="B17"/>
  <c r="B18"/>
  <c r="B19"/>
  <c r="B20"/>
  <c r="B21"/>
  <c r="B22"/>
  <c r="B23"/>
  <c r="B24"/>
  <c r="B25"/>
  <c r="B26"/>
  <c r="B27"/>
  <c r="B9"/>
  <c r="C28"/>
  <c r="B28" s="1"/>
  <c r="C11"/>
  <c r="B11" s="1"/>
  <c r="B10" i="9"/>
  <c r="B12"/>
  <c r="B13"/>
  <c r="B14"/>
  <c r="B15"/>
  <c r="B16"/>
  <c r="B17"/>
  <c r="B18"/>
  <c r="B19"/>
  <c r="B20"/>
  <c r="B21"/>
  <c r="B22"/>
  <c r="B23"/>
  <c r="B24"/>
  <c r="B25"/>
  <c r="B26"/>
  <c r="B27"/>
  <c r="B9"/>
  <c r="C28"/>
  <c r="B28" s="1"/>
  <c r="C11"/>
  <c r="B11" s="1"/>
  <c r="B10" i="8"/>
  <c r="B12"/>
  <c r="B13"/>
  <c r="B14"/>
  <c r="B15"/>
  <c r="B16"/>
  <c r="B17"/>
  <c r="B18"/>
  <c r="B19"/>
  <c r="B20"/>
  <c r="B21"/>
  <c r="B22"/>
  <c r="B23"/>
  <c r="B24"/>
  <c r="B25"/>
  <c r="B26"/>
  <c r="B27"/>
  <c r="B9"/>
  <c r="C28"/>
  <c r="B28" s="1"/>
  <c r="C11"/>
  <c r="B11" s="1"/>
  <c r="B10" i="7"/>
  <c r="B12"/>
  <c r="B13"/>
  <c r="B14"/>
  <c r="B15"/>
  <c r="B16"/>
  <c r="B17"/>
  <c r="B18"/>
  <c r="B19"/>
  <c r="B20"/>
  <c r="B21"/>
  <c r="B22"/>
  <c r="B23"/>
  <c r="B24"/>
  <c r="B25"/>
  <c r="B26"/>
  <c r="B27"/>
  <c r="B9"/>
  <c r="C28"/>
  <c r="B28" s="1"/>
  <c r="C11"/>
  <c r="B11" s="1"/>
  <c r="B10" i="6"/>
  <c r="B12"/>
  <c r="B13"/>
  <c r="B14"/>
  <c r="B15"/>
  <c r="B16"/>
  <c r="B17"/>
  <c r="B18"/>
  <c r="B19"/>
  <c r="B20"/>
  <c r="B21"/>
  <c r="B22"/>
  <c r="B23"/>
  <c r="B24"/>
  <c r="B25"/>
  <c r="B26"/>
  <c r="B27"/>
  <c r="B9"/>
  <c r="C28"/>
  <c r="B28" s="1"/>
  <c r="C11"/>
  <c r="B11" s="1"/>
  <c r="B10" i="5"/>
  <c r="B12"/>
  <c r="B13"/>
  <c r="B14"/>
  <c r="B15"/>
  <c r="B16"/>
  <c r="B17"/>
  <c r="B18"/>
  <c r="B19"/>
  <c r="B20"/>
  <c r="B21"/>
  <c r="B22"/>
  <c r="B23"/>
  <c r="B24"/>
  <c r="B25"/>
  <c r="B26"/>
  <c r="B27"/>
  <c r="B9"/>
  <c r="C28"/>
  <c r="B28" s="1"/>
  <c r="C11"/>
  <c r="B11" s="1"/>
  <c r="B10" i="4"/>
  <c r="B9"/>
  <c r="B14"/>
  <c r="B15"/>
  <c r="B16"/>
  <c r="B17"/>
  <c r="B18"/>
  <c r="B19"/>
  <c r="B20"/>
  <c r="B21"/>
  <c r="B22"/>
  <c r="B23"/>
  <c r="B24"/>
  <c r="B25"/>
  <c r="B26"/>
  <c r="B27"/>
  <c r="B13"/>
  <c r="C28"/>
  <c r="B28" s="1"/>
  <c r="C11"/>
  <c r="B11" s="1"/>
  <c r="B10" i="3"/>
  <c r="B12"/>
  <c r="B13"/>
  <c r="B14"/>
  <c r="B15"/>
  <c r="B16"/>
  <c r="B17"/>
  <c r="B18"/>
  <c r="B19"/>
  <c r="B20"/>
  <c r="B21"/>
  <c r="B22"/>
  <c r="B23"/>
  <c r="B24"/>
  <c r="B25"/>
  <c r="B26"/>
  <c r="B27"/>
  <c r="B9"/>
  <c r="C28"/>
  <c r="B28" s="1"/>
  <c r="C11"/>
  <c r="B11" s="1"/>
  <c r="B11" i="2"/>
  <c r="B13"/>
  <c r="B14"/>
  <c r="B15"/>
  <c r="B16"/>
  <c r="B17"/>
  <c r="B18"/>
  <c r="B19"/>
  <c r="B20"/>
  <c r="B21"/>
  <c r="B22"/>
  <c r="B23"/>
  <c r="B24"/>
  <c r="B25"/>
  <c r="B26"/>
  <c r="B27"/>
  <c r="B28"/>
  <c r="B10"/>
  <c r="C29"/>
  <c r="B29" s="1"/>
  <c r="C12"/>
  <c r="B12" s="1"/>
  <c r="B11" i="1"/>
  <c r="B13"/>
  <c r="B14"/>
  <c r="B15"/>
  <c r="B16"/>
  <c r="B17"/>
  <c r="B18"/>
  <c r="B19"/>
  <c r="B20"/>
  <c r="B21"/>
  <c r="B22"/>
  <c r="B23"/>
  <c r="B24"/>
  <c r="B25"/>
  <c r="B26"/>
  <c r="B27"/>
  <c r="B28"/>
  <c r="B10"/>
  <c r="C29"/>
  <c r="B29" s="1"/>
  <c r="C12"/>
  <c r="B12" s="1"/>
  <c r="B11" i="43" l="1"/>
</calcChain>
</file>

<file path=xl/sharedStrings.xml><?xml version="1.0" encoding="utf-8"?>
<sst xmlns="http://schemas.openxmlformats.org/spreadsheetml/2006/main" count="2535" uniqueCount="118">
  <si>
    <t xml:space="preserve">                                                        Карточка лицевого счета</t>
  </si>
  <si>
    <t xml:space="preserve">                                          жилого дома № 24 ул. </t>
  </si>
  <si>
    <t>Ворошилова</t>
  </si>
  <si>
    <t xml:space="preserve">                                                    находящегося на техобслуживании</t>
  </si>
  <si>
    <t xml:space="preserve">                                                             УК РЭК №12 </t>
  </si>
  <si>
    <t xml:space="preserve">     Наименование статей дохода и расхода</t>
  </si>
  <si>
    <t>Сумма  в месяц</t>
  </si>
  <si>
    <t>Сумма за    год</t>
  </si>
  <si>
    <t>Остаток на  начало года</t>
  </si>
  <si>
    <t>1.Оплачено собственниками жилых помещений по ЕПД на содержание и тек.ремонт.</t>
  </si>
  <si>
    <t>2.Оплачено собственниками  нежилых помещений на содер. и текущий ремонт, доход от интернетпровайдеров,рекламы</t>
  </si>
  <si>
    <t>ИТОГО ДОХОД</t>
  </si>
  <si>
    <t>РАСХОД</t>
  </si>
  <si>
    <t>1. Техническое обслуживание инженерных сетей, конструктивных элементов, в т.ч. з/плата, отчисления в пенсионный фонд, соцстрах,спецодежда, инструмент, расходные материалы.</t>
  </si>
  <si>
    <t xml:space="preserve">2.Уборка придомовой территории  и лестничных клеток, в т.ч. з/плата, отчисления в пенсионный фонд, соцстрах,инвентарь,спецодежда,расходные материалы.  </t>
  </si>
  <si>
    <t>3.Уборка мусоропровода,  в т.ч. з/плата, отчисления в пенсионный фонд, соцстрах, инвентарь, спецодежда,расходные материалы.</t>
  </si>
  <si>
    <t>3.Текущий ремонт</t>
  </si>
  <si>
    <t>4.Содержание аварийно-спасательной службы</t>
  </si>
  <si>
    <t>5.Дератизация жилых домов</t>
  </si>
  <si>
    <t>6. Тех.обслуживание и освидет. лифтов</t>
  </si>
  <si>
    <t>7.Содержание паспортного стола</t>
  </si>
  <si>
    <t>8.Авт.учет, ком.сбор вычислительного центра</t>
  </si>
  <si>
    <t>9.Содержание УК</t>
  </si>
  <si>
    <t>10.Прочистка ветканалов, дымоходов</t>
  </si>
  <si>
    <t>11.Налог УСНО</t>
  </si>
  <si>
    <t>12.Техническое обслуживание газопровода</t>
  </si>
  <si>
    <t>13.Работа сторонних организаций</t>
  </si>
  <si>
    <t>14.Вывоз ТБО, КГО</t>
  </si>
  <si>
    <t>ИТОГО  РАСХОД</t>
  </si>
  <si>
    <t>Остаток на конец года</t>
  </si>
  <si>
    <t>Перерасход на конец года</t>
  </si>
  <si>
    <t xml:space="preserve">Задолженность собственников жилого дома по ЕПД на конец года составляет- </t>
  </si>
  <si>
    <t>Задолженнность жилого дома перед поставщиками коммунальных услуг(отопление,ГВС,ХВС) по состоянию на 01.01.2015г.-</t>
  </si>
  <si>
    <t>ВСЕГО по карточке лицевого счета</t>
  </si>
  <si>
    <t>Главный бухгалтер                                                    Артеменко Л.К.</t>
  </si>
  <si>
    <t>Карточку лицевого счета получила</t>
  </si>
  <si>
    <t>______________201    г</t>
  </si>
  <si>
    <t xml:space="preserve">                                                                  за 2015г.</t>
  </si>
  <si>
    <t xml:space="preserve">                                          жилого дома № 26 ул. </t>
  </si>
  <si>
    <t xml:space="preserve">                                          жилого дома № 46 ул. </t>
  </si>
  <si>
    <t xml:space="preserve">                                          жилого дома № 28 ул. </t>
  </si>
  <si>
    <t xml:space="preserve"> </t>
  </si>
  <si>
    <t xml:space="preserve">                                          жилого дома № 34 ул. </t>
  </si>
  <si>
    <t xml:space="preserve">                                          жилого дома № 38 ул. </t>
  </si>
  <si>
    <t xml:space="preserve">                                          жилого дома № 40  ул. </t>
  </si>
  <si>
    <t xml:space="preserve">                                          жилого дома № 42 ул. </t>
  </si>
  <si>
    <t xml:space="preserve">                                          жилого дома № 44 ул. </t>
  </si>
  <si>
    <t xml:space="preserve">                                          жилого дома № 43 ул. </t>
  </si>
  <si>
    <t>Домостроителей</t>
  </si>
  <si>
    <t xml:space="preserve">                                          жилого дома № 45 ул. </t>
  </si>
  <si>
    <t xml:space="preserve">                                          жилого дома № 55 ул. </t>
  </si>
  <si>
    <t xml:space="preserve">                                          жилого дома № 57 ул. </t>
  </si>
  <si>
    <t xml:space="preserve">                                          жилого дома № 18 ул. </t>
  </si>
  <si>
    <t>Маршака</t>
  </si>
  <si>
    <t xml:space="preserve">                                          жилого дома № 11 ул. </t>
  </si>
  <si>
    <t xml:space="preserve">                                          жилого дома № 70 ул. </t>
  </si>
  <si>
    <t>Кривошеина</t>
  </si>
  <si>
    <t xml:space="preserve">                                          жилого дома № 68 ул. </t>
  </si>
  <si>
    <t xml:space="preserve">                                          жилого дома № 105 ул. </t>
  </si>
  <si>
    <t xml:space="preserve">Г.Сибиряков </t>
  </si>
  <si>
    <t xml:space="preserve">                                          жилого дома № 103 ул. </t>
  </si>
  <si>
    <t xml:space="preserve">                                          жилого дома № 101 ул. </t>
  </si>
  <si>
    <t xml:space="preserve">                                          жилого дома № 99 ул. </t>
  </si>
  <si>
    <t xml:space="preserve">                                          жилого дома № 89 ул. </t>
  </si>
  <si>
    <t xml:space="preserve">Председатель МКД                      </t>
  </si>
  <si>
    <t xml:space="preserve">                                          жилого дома № 87 ул. </t>
  </si>
  <si>
    <t>Ю.Янониса</t>
  </si>
  <si>
    <t xml:space="preserve">                                          жилого дома № 15 ул. </t>
  </si>
  <si>
    <t xml:space="preserve">                                          жилого дома № 14а  ул. </t>
  </si>
  <si>
    <t xml:space="preserve">                                          жилого дома № 12а  ул. </t>
  </si>
  <si>
    <t xml:space="preserve">                                          жилого дома № 10/2  ул. </t>
  </si>
  <si>
    <t xml:space="preserve">                                          жилого дома № 10/1  ул. </t>
  </si>
  <si>
    <t xml:space="preserve">                                          жилого дома № 8/2  ул. </t>
  </si>
  <si>
    <t xml:space="preserve">                                          жилого дома № 8/1  ул. </t>
  </si>
  <si>
    <t xml:space="preserve">                                          жилого дома № 15  ул. </t>
  </si>
  <si>
    <t xml:space="preserve">                                          жилого дома № 17  ул. </t>
  </si>
  <si>
    <t xml:space="preserve">                                          жилого дома № 19  ул. </t>
  </si>
  <si>
    <t xml:space="preserve">                                          жилого дома № 25 ул. </t>
  </si>
  <si>
    <t xml:space="preserve">                                          жилого дома № 31 ул. </t>
  </si>
  <si>
    <t xml:space="preserve">                                          жилого дома № 33 ул. </t>
  </si>
  <si>
    <t xml:space="preserve">                                          жилого дома № 35 ул. </t>
  </si>
  <si>
    <t xml:space="preserve">                                          жилого дома № 37 ул. </t>
  </si>
  <si>
    <t xml:space="preserve">                                          жилого дома № 59 ул. </t>
  </si>
  <si>
    <t xml:space="preserve">                                          жилого дома № 61 ул. </t>
  </si>
  <si>
    <t xml:space="preserve">                                          жилого дома № 63 ул. </t>
  </si>
  <si>
    <t xml:space="preserve">                                          жилого дома № 75 ул. </t>
  </si>
  <si>
    <t xml:space="preserve">                                          жилого дома № 77  ул. </t>
  </si>
  <si>
    <t xml:space="preserve">                                          жилого дома № 79      ул. </t>
  </si>
  <si>
    <t xml:space="preserve">                                          жилого дома № 1      ул. </t>
  </si>
  <si>
    <t>Б.Пионеров</t>
  </si>
  <si>
    <t xml:space="preserve">                                          жилого дома № 3    ул. </t>
  </si>
  <si>
    <t xml:space="preserve">                                          жилого дома № 5    ул. </t>
  </si>
  <si>
    <t xml:space="preserve">                                          жилого дома №15    ул. </t>
  </si>
  <si>
    <t xml:space="preserve">                                          жилого дома №21   ул. </t>
  </si>
  <si>
    <t xml:space="preserve">                                          жилого дома №25               ул. </t>
  </si>
  <si>
    <t xml:space="preserve">                                          жилого дома №27              ул. </t>
  </si>
  <si>
    <t xml:space="preserve">                                          жилого дома №  18             ул. </t>
  </si>
  <si>
    <t>Космонавтов</t>
  </si>
  <si>
    <t xml:space="preserve">                                          жилого дома №  22             ул. </t>
  </si>
  <si>
    <t xml:space="preserve">                                          жилого дома №  22а          ул. </t>
  </si>
  <si>
    <t xml:space="preserve">                                          жилого дома №  24          ул. </t>
  </si>
  <si>
    <t xml:space="preserve">                                          жилого дома №  26         ул. </t>
  </si>
  <si>
    <t xml:space="preserve">                                          жилого дома №  28         ул. </t>
  </si>
  <si>
    <t xml:space="preserve">                                          жилого дома №  30         ул. </t>
  </si>
  <si>
    <t xml:space="preserve">                                          жилого дома №  48         ул. </t>
  </si>
  <si>
    <t xml:space="preserve">                                          жилого дома №  50      ул. </t>
  </si>
  <si>
    <t xml:space="preserve">                                          жилого дома №  52     ул. </t>
  </si>
  <si>
    <t xml:space="preserve">                                          жилого дома №  56     ул. </t>
  </si>
  <si>
    <t xml:space="preserve">                                          жилого дома №  60    ул. </t>
  </si>
  <si>
    <t xml:space="preserve">                                          жилого дома №  62     ул. </t>
  </si>
  <si>
    <t xml:space="preserve">Председатель МКД                         </t>
  </si>
  <si>
    <t xml:space="preserve">Председатель МКД                        </t>
  </si>
  <si>
    <t xml:space="preserve">Председатель МКД                          </t>
  </si>
  <si>
    <t xml:space="preserve">Председатель  МКД                        </t>
  </si>
  <si>
    <t xml:space="preserve"> Председатель МКД                         </t>
  </si>
  <si>
    <t xml:space="preserve"> Председатель МКД                        </t>
  </si>
  <si>
    <t xml:space="preserve">                                                                  за 2016г.</t>
  </si>
  <si>
    <t xml:space="preserve">                                                                  за 2016+г.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</si>
</sst>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2" fontId="1" fillId="0" borderId="0" xfId="0" applyNumberFormat="1" applyFont="1"/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41"/>
  <sheetViews>
    <sheetView tabSelected="1" workbookViewId="0">
      <selection activeCell="C11" sqref="C11"/>
    </sheetView>
  </sheetViews>
  <sheetFormatPr defaultRowHeight="30.5" customHeight="1"/>
  <cols>
    <col min="1" max="1" width="41.08984375" customWidth="1"/>
    <col min="2" max="2" width="16.36328125" customWidth="1"/>
    <col min="3" max="3" width="16.08984375" customWidth="1"/>
  </cols>
  <sheetData>
    <row r="2" spans="1:3" ht="13.5" customHeight="1">
      <c r="A2" s="1" t="s">
        <v>0</v>
      </c>
      <c r="B2" s="1"/>
      <c r="C2" s="1"/>
    </row>
    <row r="3" spans="1:3" ht="17" customHeight="1">
      <c r="A3" s="1" t="s">
        <v>1</v>
      </c>
      <c r="B3" s="1" t="s">
        <v>2</v>
      </c>
      <c r="C3" s="1"/>
    </row>
    <row r="4" spans="1:3" ht="15" customHeight="1">
      <c r="A4" s="1" t="s">
        <v>3</v>
      </c>
      <c r="B4" s="1"/>
      <c r="C4" s="1"/>
    </row>
    <row r="5" spans="1:3" ht="18.5" customHeight="1">
      <c r="A5" s="1" t="s">
        <v>4</v>
      </c>
      <c r="B5" s="1"/>
      <c r="C5" s="1"/>
    </row>
    <row r="6" spans="1:3" ht="16.5" customHeight="1">
      <c r="A6" s="1" t="s">
        <v>116</v>
      </c>
      <c r="B6" s="1"/>
      <c r="C6" s="1"/>
    </row>
    <row r="7" spans="1:3" ht="0.5" customHeight="1">
      <c r="A7" s="1"/>
      <c r="B7" s="1"/>
      <c r="C7" s="1"/>
    </row>
    <row r="8" spans="1:3" ht="24" customHeight="1">
      <c r="A8" s="1" t="s">
        <v>5</v>
      </c>
      <c r="B8" s="1" t="s">
        <v>6</v>
      </c>
      <c r="C8" s="1" t="s">
        <v>7</v>
      </c>
    </row>
    <row r="9" spans="1:3" ht="15" customHeight="1">
      <c r="A9" s="2" t="s">
        <v>8</v>
      </c>
      <c r="B9" s="1"/>
      <c r="C9" s="2">
        <v>-262973.02</v>
      </c>
    </row>
    <row r="10" spans="1:3" ht="43" customHeight="1">
      <c r="A10" s="3" t="s">
        <v>9</v>
      </c>
      <c r="B10" s="4">
        <f>C10/12</f>
        <v>36932.883333333331</v>
      </c>
      <c r="C10" s="1">
        <v>443194.6</v>
      </c>
    </row>
    <row r="11" spans="1:3" ht="46" customHeight="1">
      <c r="A11" s="3" t="s">
        <v>10</v>
      </c>
      <c r="B11" s="4">
        <f t="shared" ref="B11:B29" si="0">C11/12</f>
        <v>11083.791666666666</v>
      </c>
      <c r="C11" s="1">
        <f>11455+121550.5</f>
        <v>133005.5</v>
      </c>
    </row>
    <row r="12" spans="1:3" ht="23" customHeight="1">
      <c r="A12" s="2" t="s">
        <v>11</v>
      </c>
      <c r="B12" s="4">
        <f t="shared" si="0"/>
        <v>48016.674999999996</v>
      </c>
      <c r="C12" s="2">
        <f>SUM(C10:C11)</f>
        <v>576200.1</v>
      </c>
    </row>
    <row r="13" spans="1:3" ht="17" customHeight="1">
      <c r="A13" s="2" t="s">
        <v>12</v>
      </c>
      <c r="B13" s="4">
        <f t="shared" si="0"/>
        <v>0</v>
      </c>
      <c r="C13" s="1"/>
    </row>
    <row r="14" spans="1:3" ht="74.5" customHeight="1">
      <c r="A14" s="3" t="s">
        <v>13</v>
      </c>
      <c r="B14" s="4">
        <f t="shared" si="0"/>
        <v>13299.07</v>
      </c>
      <c r="C14" s="1">
        <f>130678.4+28910.44</f>
        <v>159588.84</v>
      </c>
    </row>
    <row r="15" spans="1:3" ht="78.5" customHeight="1">
      <c r="A15" s="3" t="s">
        <v>14</v>
      </c>
      <c r="B15" s="4">
        <f t="shared" si="0"/>
        <v>17089.535</v>
      </c>
      <c r="C15" s="1">
        <f>32130.46+172943.96</f>
        <v>205074.41999999998</v>
      </c>
    </row>
    <row r="16" spans="1:3" ht="45" customHeight="1">
      <c r="A16" s="3" t="s">
        <v>15</v>
      </c>
      <c r="B16" s="4">
        <f t="shared" si="0"/>
        <v>0</v>
      </c>
      <c r="C16" s="1"/>
    </row>
    <row r="17" spans="1:3" ht="17.5" customHeight="1">
      <c r="A17" s="1" t="s">
        <v>16</v>
      </c>
      <c r="B17" s="4">
        <f t="shared" si="0"/>
        <v>2335.0833333333335</v>
      </c>
      <c r="C17" s="1">
        <v>28021</v>
      </c>
    </row>
    <row r="18" spans="1:3" ht="18.5" customHeight="1">
      <c r="A18" s="1" t="s">
        <v>17</v>
      </c>
      <c r="B18" s="4">
        <f t="shared" si="0"/>
        <v>1863.9399999999998</v>
      </c>
      <c r="C18" s="1">
        <v>22367.279999999999</v>
      </c>
    </row>
    <row r="19" spans="1:3" ht="13.5" customHeight="1">
      <c r="A19" s="1" t="s">
        <v>18</v>
      </c>
      <c r="B19" s="4">
        <f t="shared" si="0"/>
        <v>162.27000000000001</v>
      </c>
      <c r="C19" s="1">
        <v>1947.24</v>
      </c>
    </row>
    <row r="20" spans="1:3" ht="14.5" customHeight="1">
      <c r="A20" s="1" t="s">
        <v>19</v>
      </c>
      <c r="B20" s="4">
        <f t="shared" si="0"/>
        <v>0</v>
      </c>
      <c r="C20" s="1"/>
    </row>
    <row r="21" spans="1:3" ht="15.5" customHeight="1">
      <c r="A21" s="1" t="s">
        <v>20</v>
      </c>
      <c r="B21" s="4">
        <f t="shared" si="0"/>
        <v>764.06</v>
      </c>
      <c r="C21" s="1">
        <v>9168.7199999999993</v>
      </c>
    </row>
    <row r="22" spans="1:3" ht="18.5" customHeight="1">
      <c r="A22" s="1" t="s">
        <v>21</v>
      </c>
      <c r="B22" s="4">
        <f t="shared" si="0"/>
        <v>1055.2850000000001</v>
      </c>
      <c r="C22" s="1">
        <v>12663.42</v>
      </c>
    </row>
    <row r="23" spans="1:3" ht="16" customHeight="1">
      <c r="A23" s="1" t="s">
        <v>22</v>
      </c>
      <c r="B23" s="4">
        <f t="shared" si="0"/>
        <v>4673.8474999999999</v>
      </c>
      <c r="C23" s="1">
        <v>56086.17</v>
      </c>
    </row>
    <row r="24" spans="1:3" ht="13.5" customHeight="1">
      <c r="A24" s="1" t="s">
        <v>23</v>
      </c>
      <c r="B24" s="4">
        <f t="shared" si="0"/>
        <v>369.03083333333331</v>
      </c>
      <c r="C24" s="1">
        <v>4428.37</v>
      </c>
    </row>
    <row r="25" spans="1:3" ht="15.5" customHeight="1">
      <c r="A25" s="1" t="s">
        <v>24</v>
      </c>
      <c r="B25" s="4">
        <f t="shared" si="0"/>
        <v>2855.478333333333</v>
      </c>
      <c r="C25" s="1">
        <v>34265.74</v>
      </c>
    </row>
    <row r="26" spans="1:3" ht="12.5" customHeight="1">
      <c r="A26" s="1" t="s">
        <v>25</v>
      </c>
      <c r="B26" s="4">
        <f t="shared" si="0"/>
        <v>228.11500000000001</v>
      </c>
      <c r="C26" s="1">
        <v>2737.38</v>
      </c>
    </row>
    <row r="27" spans="1:3" ht="16" customHeight="1">
      <c r="A27" s="1" t="s">
        <v>26</v>
      </c>
      <c r="B27" s="4">
        <f t="shared" si="0"/>
        <v>0</v>
      </c>
      <c r="C27" s="1"/>
    </row>
    <row r="28" spans="1:3" ht="14" customHeight="1">
      <c r="A28" s="1" t="s">
        <v>27</v>
      </c>
      <c r="B28" s="4">
        <f t="shared" si="0"/>
        <v>10628.3125</v>
      </c>
      <c r="C28" s="1">
        <v>127539.75</v>
      </c>
    </row>
    <row r="29" spans="1:3" ht="16" customHeight="1">
      <c r="A29" s="2" t="s">
        <v>28</v>
      </c>
      <c r="B29" s="4">
        <f t="shared" si="0"/>
        <v>55324.027499999997</v>
      </c>
      <c r="C29" s="2">
        <f>SUM(C14:C28)</f>
        <v>663888.32999999996</v>
      </c>
    </row>
    <row r="30" spans="1:3" ht="25.5" customHeight="1">
      <c r="A30" s="2" t="s">
        <v>29</v>
      </c>
      <c r="B30" s="1"/>
      <c r="C30" s="2"/>
    </row>
    <row r="31" spans="1:3" ht="25.5" customHeight="1">
      <c r="A31" s="2" t="s">
        <v>30</v>
      </c>
      <c r="B31" s="1"/>
      <c r="C31" s="2">
        <v>350661.25</v>
      </c>
    </row>
    <row r="32" spans="1:3" ht="31.5" customHeight="1">
      <c r="A32" s="3" t="s">
        <v>31</v>
      </c>
      <c r="B32" s="1"/>
      <c r="C32" s="1">
        <v>210344.26</v>
      </c>
    </row>
    <row r="33" spans="1:3" ht="1" hidden="1" customHeight="1">
      <c r="A33" s="3" t="s">
        <v>32</v>
      </c>
      <c r="B33" s="1"/>
      <c r="C33" s="1"/>
    </row>
    <row r="34" spans="1:3" ht="27.5" customHeight="1">
      <c r="A34" s="2" t="s">
        <v>33</v>
      </c>
      <c r="B34" s="2"/>
      <c r="C34" s="2">
        <v>-561005.51</v>
      </c>
    </row>
    <row r="35" spans="1:3" ht="40.5" customHeight="1">
      <c r="A35" s="1" t="s">
        <v>34</v>
      </c>
      <c r="B35" s="1"/>
      <c r="C35" s="1"/>
    </row>
    <row r="36" spans="1:3" ht="41.5" customHeight="1">
      <c r="A36" s="1" t="s">
        <v>35</v>
      </c>
      <c r="B36" s="1"/>
      <c r="C36" s="1"/>
    </row>
    <row r="37" spans="1:3" ht="34" customHeight="1">
      <c r="A37" s="1" t="s">
        <v>115</v>
      </c>
      <c r="B37" s="1"/>
      <c r="C37" s="1"/>
    </row>
    <row r="38" spans="1:3" ht="30.5" customHeight="1">
      <c r="A38" s="1" t="s">
        <v>36</v>
      </c>
      <c r="B38" s="1"/>
      <c r="C38" s="1"/>
    </row>
    <row r="39" spans="1:3" ht="30.5" customHeight="1">
      <c r="A39" s="1"/>
      <c r="B39" s="1"/>
      <c r="C39" s="1"/>
    </row>
    <row r="40" spans="1:3" ht="30.5" customHeight="1">
      <c r="A40" s="1"/>
      <c r="B40" s="1"/>
      <c r="C40" s="1"/>
    </row>
    <row r="41" spans="1:3" ht="30.5" customHeight="1">
      <c r="A41" s="1"/>
      <c r="B41" s="1"/>
      <c r="C41" s="1"/>
    </row>
  </sheetData>
  <pageMargins left="0.7" right="0.7" top="0.75" bottom="0.75" header="0.3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7"/>
  <sheetViews>
    <sheetView workbookViewId="0">
      <selection activeCell="A6" sqref="A6"/>
    </sheetView>
  </sheetViews>
  <sheetFormatPr defaultRowHeight="14.5"/>
  <cols>
    <col min="1" max="1" width="40.36328125" customWidth="1"/>
    <col min="2" max="2" width="15.26953125" customWidth="1"/>
    <col min="3" max="3" width="14.26953125" customWidth="1"/>
  </cols>
  <sheetData>
    <row r="1" spans="1:3" ht="15.5">
      <c r="A1" s="1" t="s">
        <v>0</v>
      </c>
      <c r="B1" s="1"/>
      <c r="C1" s="1"/>
    </row>
    <row r="2" spans="1:3" ht="15.5">
      <c r="A2" s="1" t="s">
        <v>47</v>
      </c>
      <c r="B2" s="1" t="s">
        <v>48</v>
      </c>
      <c r="C2" s="1"/>
    </row>
    <row r="3" spans="1:3" ht="15.5">
      <c r="A3" s="1" t="s">
        <v>3</v>
      </c>
      <c r="B3" s="1"/>
      <c r="C3" s="1"/>
    </row>
    <row r="4" spans="1:3" ht="15.5">
      <c r="A4" s="1" t="s">
        <v>4</v>
      </c>
      <c r="B4" s="1"/>
      <c r="C4" s="1"/>
    </row>
    <row r="5" spans="1:3" ht="15.5">
      <c r="A5" s="1" t="s">
        <v>116</v>
      </c>
      <c r="B5" s="1"/>
      <c r="C5" s="1"/>
    </row>
    <row r="6" spans="1:3" ht="15.5">
      <c r="A6" s="1"/>
      <c r="B6" s="1"/>
      <c r="C6" s="1"/>
    </row>
    <row r="7" spans="1:3" ht="15.5">
      <c r="A7" s="1" t="s">
        <v>5</v>
      </c>
      <c r="B7" s="1" t="s">
        <v>6</v>
      </c>
      <c r="C7" s="1" t="s">
        <v>7</v>
      </c>
    </row>
    <row r="8" spans="1:3" ht="15.5">
      <c r="A8" s="2" t="s">
        <v>8</v>
      </c>
      <c r="B8" s="1"/>
      <c r="C8" s="2">
        <v>7201.29</v>
      </c>
    </row>
    <row r="9" spans="1:3" ht="47" customHeight="1">
      <c r="A9" s="3" t="s">
        <v>9</v>
      </c>
      <c r="B9" s="4">
        <f>C9/12</f>
        <v>47537.3825</v>
      </c>
      <c r="C9" s="1">
        <v>570448.59</v>
      </c>
    </row>
    <row r="10" spans="1:3" ht="54" customHeight="1">
      <c r="A10" s="3" t="s">
        <v>10</v>
      </c>
      <c r="B10" s="4">
        <f t="shared" ref="B10:B28" si="0">C10/12</f>
        <v>2009.5833333333333</v>
      </c>
      <c r="C10" s="1">
        <v>24115</v>
      </c>
    </row>
    <row r="11" spans="1:3" ht="15.5">
      <c r="A11" s="2" t="s">
        <v>11</v>
      </c>
      <c r="B11" s="4">
        <f t="shared" si="0"/>
        <v>49546.965833333328</v>
      </c>
      <c r="C11" s="2">
        <f>SUM(C9:C10)</f>
        <v>594563.59</v>
      </c>
    </row>
    <row r="12" spans="1:3" ht="15.5">
      <c r="A12" s="2" t="s">
        <v>12</v>
      </c>
      <c r="B12" s="4">
        <f t="shared" si="0"/>
        <v>0</v>
      </c>
      <c r="C12" s="1"/>
    </row>
    <row r="13" spans="1:3" ht="76.5" customHeight="1">
      <c r="A13" s="3" t="s">
        <v>13</v>
      </c>
      <c r="B13" s="4">
        <f t="shared" si="0"/>
        <v>12692.703333333333</v>
      </c>
      <c r="C13" s="1">
        <f>124720.1+27592.34</f>
        <v>152312.44</v>
      </c>
    </row>
    <row r="14" spans="1:3" ht="78" customHeight="1">
      <c r="A14" s="3" t="s">
        <v>14</v>
      </c>
      <c r="B14" s="4">
        <f t="shared" si="0"/>
        <v>11407.036666666667</v>
      </c>
      <c r="C14" s="1">
        <f>44276.84+92607.6</f>
        <v>136884.44</v>
      </c>
    </row>
    <row r="15" spans="1:3" ht="63" customHeight="1">
      <c r="A15" s="3" t="s">
        <v>15</v>
      </c>
      <c r="B15" s="4">
        <f t="shared" si="0"/>
        <v>0</v>
      </c>
      <c r="C15" s="1"/>
    </row>
    <row r="16" spans="1:3" ht="15.5">
      <c r="A16" s="1" t="s">
        <v>16</v>
      </c>
      <c r="B16" s="4">
        <f t="shared" si="0"/>
        <v>7165.833333333333</v>
      </c>
      <c r="C16" s="1">
        <v>85990</v>
      </c>
    </row>
    <row r="17" spans="1:3" ht="15.5">
      <c r="A17" s="1" t="s">
        <v>17</v>
      </c>
      <c r="B17" s="4">
        <f t="shared" si="0"/>
        <v>1719.8500000000001</v>
      </c>
      <c r="C17" s="1">
        <v>20638.2</v>
      </c>
    </row>
    <row r="18" spans="1:3" ht="15.5">
      <c r="A18" s="1" t="s">
        <v>18</v>
      </c>
      <c r="B18" s="4">
        <f t="shared" si="0"/>
        <v>173.78</v>
      </c>
      <c r="C18" s="1">
        <v>2085.36</v>
      </c>
    </row>
    <row r="19" spans="1:3" ht="15.5">
      <c r="A19" s="1" t="s">
        <v>19</v>
      </c>
      <c r="B19" s="4">
        <f t="shared" si="0"/>
        <v>0</v>
      </c>
      <c r="C19" s="1"/>
    </row>
    <row r="20" spans="1:3" ht="15.5">
      <c r="A20" s="1" t="s">
        <v>20</v>
      </c>
      <c r="B20" s="4">
        <f t="shared" si="0"/>
        <v>952.13583333333327</v>
      </c>
      <c r="C20" s="1">
        <v>11425.63</v>
      </c>
    </row>
    <row r="21" spans="1:3" ht="15.5">
      <c r="A21" s="1" t="s">
        <v>21</v>
      </c>
      <c r="B21" s="4">
        <f t="shared" si="0"/>
        <v>1080.6375</v>
      </c>
      <c r="C21" s="1">
        <v>12967.65</v>
      </c>
    </row>
    <row r="22" spans="1:3" ht="15.5">
      <c r="A22" s="1" t="s">
        <v>22</v>
      </c>
      <c r="B22" s="4">
        <f t="shared" si="0"/>
        <v>4311.1675000000005</v>
      </c>
      <c r="C22" s="1">
        <v>51734.01</v>
      </c>
    </row>
    <row r="23" spans="1:3" ht="15.5">
      <c r="A23" s="1" t="s">
        <v>23</v>
      </c>
      <c r="B23" s="4">
        <f t="shared" si="0"/>
        <v>540.21249999999998</v>
      </c>
      <c r="C23" s="1">
        <v>6482.55</v>
      </c>
    </row>
    <row r="24" spans="1:3" ht="15.5">
      <c r="A24" s="1" t="s">
        <v>24</v>
      </c>
      <c r="B24" s="4">
        <f t="shared" si="0"/>
        <v>2946.4825000000001</v>
      </c>
      <c r="C24" s="1">
        <v>35357.79</v>
      </c>
    </row>
    <row r="25" spans="1:3" ht="15.5">
      <c r="A25" s="1" t="s">
        <v>25</v>
      </c>
      <c r="B25" s="4">
        <f t="shared" si="0"/>
        <v>246.67833333333331</v>
      </c>
      <c r="C25" s="1">
        <v>2960.14</v>
      </c>
    </row>
    <row r="26" spans="1:3" ht="15.5">
      <c r="A26" s="1" t="s">
        <v>26</v>
      </c>
      <c r="B26" s="4">
        <f t="shared" si="0"/>
        <v>0</v>
      </c>
      <c r="C26" s="1"/>
    </row>
    <row r="27" spans="1:3" ht="15.5">
      <c r="A27" s="1" t="s">
        <v>27</v>
      </c>
      <c r="B27" s="4">
        <f t="shared" si="0"/>
        <v>9803.58</v>
      </c>
      <c r="C27" s="1">
        <v>117642.96</v>
      </c>
    </row>
    <row r="28" spans="1:3" ht="15.5">
      <c r="A28" s="2" t="s">
        <v>28</v>
      </c>
      <c r="B28" s="4">
        <f t="shared" si="0"/>
        <v>53040.097500000003</v>
      </c>
      <c r="C28" s="2">
        <f>SUM(C13:C27)</f>
        <v>636481.17000000004</v>
      </c>
    </row>
    <row r="29" spans="1:3" ht="17.5" customHeight="1">
      <c r="A29" s="2" t="s">
        <v>29</v>
      </c>
      <c r="B29" s="1"/>
      <c r="C29" s="2"/>
    </row>
    <row r="30" spans="1:3" ht="24.5" customHeight="1">
      <c r="A30" s="2" t="s">
        <v>30</v>
      </c>
      <c r="B30" s="1"/>
      <c r="C30" s="2">
        <v>34716.29</v>
      </c>
    </row>
    <row r="31" spans="1:3" ht="31">
      <c r="A31" s="3" t="s">
        <v>31</v>
      </c>
      <c r="B31" s="1"/>
      <c r="C31" s="1">
        <v>186564.09</v>
      </c>
    </row>
    <row r="32" spans="1:3" ht="62" hidden="1">
      <c r="A32" s="3" t="s">
        <v>32</v>
      </c>
      <c r="B32" s="1"/>
      <c r="C32" s="1"/>
    </row>
    <row r="33" spans="1:3" ht="23.5" customHeight="1">
      <c r="A33" s="2" t="s">
        <v>33</v>
      </c>
      <c r="B33" s="2"/>
      <c r="C33" s="2">
        <v>-221280.38</v>
      </c>
    </row>
    <row r="34" spans="1:3" ht="29" customHeight="1">
      <c r="A34" s="1" t="s">
        <v>34</v>
      </c>
      <c r="B34" s="1"/>
      <c r="C34" s="1"/>
    </row>
    <row r="35" spans="1:3" ht="30.5" customHeight="1">
      <c r="A35" s="1" t="s">
        <v>35</v>
      </c>
      <c r="B35" s="1"/>
      <c r="C35" s="1"/>
    </row>
    <row r="36" spans="1:3" ht="28.5" customHeight="1">
      <c r="A36" s="1" t="s">
        <v>112</v>
      </c>
      <c r="B36" s="1"/>
      <c r="C36" s="1"/>
    </row>
    <row r="37" spans="1:3" ht="22" customHeight="1">
      <c r="A37" s="1" t="s">
        <v>36</v>
      </c>
      <c r="B37" s="1"/>
      <c r="C37" s="1"/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7"/>
  <sheetViews>
    <sheetView topLeftCell="A25" workbookViewId="0">
      <selection activeCell="C34" sqref="C34"/>
    </sheetView>
  </sheetViews>
  <sheetFormatPr defaultRowHeight="14.5"/>
  <cols>
    <col min="1" max="1" width="40.36328125" customWidth="1"/>
    <col min="2" max="2" width="19.54296875" customWidth="1"/>
    <col min="3" max="3" width="19" customWidth="1"/>
  </cols>
  <sheetData>
    <row r="1" spans="1:3" ht="25" customHeight="1">
      <c r="A1" s="1" t="s">
        <v>0</v>
      </c>
      <c r="B1" s="1"/>
      <c r="C1" s="1"/>
    </row>
    <row r="2" spans="1:3" ht="23.5" customHeight="1">
      <c r="A2" s="1" t="s">
        <v>49</v>
      </c>
      <c r="B2" s="1" t="s">
        <v>48</v>
      </c>
      <c r="C2" s="1"/>
    </row>
    <row r="3" spans="1:3" ht="22.5" customHeight="1">
      <c r="A3" s="1" t="s">
        <v>3</v>
      </c>
      <c r="B3" s="1"/>
      <c r="C3" s="1"/>
    </row>
    <row r="4" spans="1:3" ht="22" customHeight="1">
      <c r="A4" s="1" t="s">
        <v>4</v>
      </c>
      <c r="B4" s="1"/>
      <c r="C4" s="1"/>
    </row>
    <row r="5" spans="1:3" ht="24.5" customHeight="1">
      <c r="A5" s="1" t="s">
        <v>116</v>
      </c>
      <c r="B5" s="1"/>
      <c r="C5" s="1"/>
    </row>
    <row r="6" spans="1:3" ht="23.5" customHeight="1">
      <c r="A6" s="1"/>
      <c r="B6" s="1"/>
      <c r="C6" s="1"/>
    </row>
    <row r="7" spans="1:3" ht="25.5" customHeight="1">
      <c r="A7" s="1" t="s">
        <v>5</v>
      </c>
      <c r="B7" s="1" t="s">
        <v>6</v>
      </c>
      <c r="C7" s="1" t="s">
        <v>7</v>
      </c>
    </row>
    <row r="8" spans="1:3" ht="23.5" customHeight="1">
      <c r="A8" s="2" t="s">
        <v>8</v>
      </c>
      <c r="B8" s="1"/>
      <c r="C8" s="2">
        <v>177960.55</v>
      </c>
    </row>
    <row r="9" spans="1:3" ht="47.5" customHeight="1">
      <c r="A9" s="3" t="s">
        <v>9</v>
      </c>
      <c r="B9" s="4">
        <f>C9/12</f>
        <v>58505.872499999998</v>
      </c>
      <c r="C9" s="1">
        <v>702070.47</v>
      </c>
    </row>
    <row r="10" spans="1:3" ht="53.5" customHeight="1">
      <c r="A10" s="3" t="s">
        <v>10</v>
      </c>
      <c r="B10" s="4">
        <f t="shared" ref="B10:B28" si="0">C10/12</f>
        <v>8568.6666666666661</v>
      </c>
      <c r="C10" s="1">
        <f>74954+27870</f>
        <v>102824</v>
      </c>
    </row>
    <row r="11" spans="1:3" ht="28.5" customHeight="1">
      <c r="A11" s="2" t="s">
        <v>11</v>
      </c>
      <c r="B11" s="4">
        <f t="shared" si="0"/>
        <v>67074.539166666669</v>
      </c>
      <c r="C11" s="2">
        <f>SUM(C9:C10)</f>
        <v>804894.47</v>
      </c>
    </row>
    <row r="12" spans="1:3" ht="15.5">
      <c r="A12" s="2" t="s">
        <v>12</v>
      </c>
      <c r="B12" s="4">
        <f t="shared" si="0"/>
        <v>0</v>
      </c>
      <c r="C12" s="1"/>
    </row>
    <row r="13" spans="1:3" ht="77.5" customHeight="1">
      <c r="A13" s="3" t="s">
        <v>13</v>
      </c>
      <c r="B13" s="4">
        <f t="shared" si="0"/>
        <v>18236.903333333335</v>
      </c>
      <c r="C13" s="1">
        <f>179198.2+39644.64</f>
        <v>218842.84000000003</v>
      </c>
    </row>
    <row r="14" spans="1:3" ht="81.5" customHeight="1">
      <c r="A14" s="3" t="s">
        <v>14</v>
      </c>
      <c r="B14" s="4">
        <f t="shared" si="0"/>
        <v>11873.588333333333</v>
      </c>
      <c r="C14" s="1">
        <f>47829.78+94653.28</f>
        <v>142483.06</v>
      </c>
    </row>
    <row r="15" spans="1:3" ht="65" customHeight="1">
      <c r="A15" s="3" t="s">
        <v>15</v>
      </c>
      <c r="B15" s="4">
        <f t="shared" si="0"/>
        <v>0</v>
      </c>
      <c r="C15" s="1"/>
    </row>
    <row r="16" spans="1:3" ht="15.5">
      <c r="A16" s="1" t="s">
        <v>16</v>
      </c>
      <c r="B16" s="4">
        <f t="shared" si="0"/>
        <v>1348.5833333333333</v>
      </c>
      <c r="C16" s="1">
        <v>16183</v>
      </c>
    </row>
    <row r="17" spans="1:3" ht="15.5">
      <c r="A17" s="1" t="s">
        <v>17</v>
      </c>
      <c r="B17" s="4">
        <f t="shared" si="0"/>
        <v>2550.5</v>
      </c>
      <c r="C17" s="1">
        <v>30606</v>
      </c>
    </row>
    <row r="18" spans="1:3" ht="15.5">
      <c r="A18" s="1" t="s">
        <v>18</v>
      </c>
      <c r="B18" s="4">
        <f t="shared" si="0"/>
        <v>380.70666666666665</v>
      </c>
      <c r="C18" s="1">
        <v>4568.4799999999996</v>
      </c>
    </row>
    <row r="19" spans="1:3" ht="15.5">
      <c r="A19" s="1" t="s">
        <v>19</v>
      </c>
      <c r="B19" s="4">
        <f t="shared" si="0"/>
        <v>0</v>
      </c>
      <c r="C19" s="1"/>
    </row>
    <row r="20" spans="1:3" ht="15.5">
      <c r="A20" s="1" t="s">
        <v>20</v>
      </c>
      <c r="B20" s="4">
        <f t="shared" si="0"/>
        <v>1269.5141666666666</v>
      </c>
      <c r="C20" s="1">
        <v>15234.17</v>
      </c>
    </row>
    <row r="21" spans="1:3" ht="15.5">
      <c r="A21" s="1" t="s">
        <v>21</v>
      </c>
      <c r="B21" s="4">
        <f t="shared" si="0"/>
        <v>1561.6508333333334</v>
      </c>
      <c r="C21" s="1">
        <v>18739.810000000001</v>
      </c>
    </row>
    <row r="22" spans="1:3" ht="15.5">
      <c r="A22" s="1" t="s">
        <v>22</v>
      </c>
      <c r="B22" s="4">
        <f t="shared" si="0"/>
        <v>6367.78</v>
      </c>
      <c r="C22" s="1">
        <v>76413.36</v>
      </c>
    </row>
    <row r="23" spans="1:3" ht="15.5">
      <c r="A23" s="1" t="s">
        <v>23</v>
      </c>
      <c r="B23" s="4">
        <f t="shared" si="0"/>
        <v>789.2741666666667</v>
      </c>
      <c r="C23" s="1">
        <v>9471.2900000000009</v>
      </c>
    </row>
    <row r="24" spans="1:3" ht="15.5">
      <c r="A24" s="1" t="s">
        <v>24</v>
      </c>
      <c r="B24" s="4">
        <f t="shared" si="0"/>
        <v>4236.6058333333331</v>
      </c>
      <c r="C24" s="1">
        <v>50839.27</v>
      </c>
    </row>
    <row r="25" spans="1:3" ht="15.5">
      <c r="A25" s="1" t="s">
        <v>25</v>
      </c>
      <c r="B25" s="4">
        <f t="shared" si="0"/>
        <v>366.84333333333331</v>
      </c>
      <c r="C25" s="1">
        <v>4402.12</v>
      </c>
    </row>
    <row r="26" spans="1:3" ht="15.5">
      <c r="A26" s="1" t="s">
        <v>26</v>
      </c>
      <c r="B26" s="4">
        <f t="shared" si="0"/>
        <v>0</v>
      </c>
      <c r="C26" s="1"/>
    </row>
    <row r="27" spans="1:3" ht="15.5">
      <c r="A27" s="1" t="s">
        <v>27</v>
      </c>
      <c r="B27" s="4">
        <f t="shared" si="0"/>
        <v>16980.309166666666</v>
      </c>
      <c r="C27" s="1">
        <v>203763.71</v>
      </c>
    </row>
    <row r="28" spans="1:3" ht="15.5">
      <c r="A28" s="2" t="s">
        <v>28</v>
      </c>
      <c r="B28" s="4">
        <f t="shared" si="0"/>
        <v>65962.25916666667</v>
      </c>
      <c r="C28" s="2">
        <f>SUM(C13:C27)</f>
        <v>791547.11</v>
      </c>
    </row>
    <row r="29" spans="1:3" ht="25" customHeight="1">
      <c r="A29" s="2" t="s">
        <v>29</v>
      </c>
      <c r="B29" s="1"/>
      <c r="C29" s="2">
        <v>191307.91</v>
      </c>
    </row>
    <row r="30" spans="1:3" ht="31" customHeight="1">
      <c r="A30" s="2" t="s">
        <v>30</v>
      </c>
      <c r="B30" s="1"/>
      <c r="C30" s="2"/>
    </row>
    <row r="31" spans="1:3" ht="71.5" customHeight="1">
      <c r="A31" s="3" t="s">
        <v>31</v>
      </c>
      <c r="B31" s="1"/>
      <c r="C31" s="1">
        <v>252559.66</v>
      </c>
    </row>
    <row r="32" spans="1:3" ht="62" hidden="1">
      <c r="A32" s="3" t="s">
        <v>32</v>
      </c>
      <c r="B32" s="1"/>
      <c r="C32" s="1"/>
    </row>
    <row r="33" spans="1:3" ht="28" customHeight="1">
      <c r="A33" s="2" t="s">
        <v>33</v>
      </c>
      <c r="B33" s="2"/>
      <c r="C33" s="2">
        <v>-61251.75</v>
      </c>
    </row>
    <row r="34" spans="1:3" ht="30.5" customHeight="1">
      <c r="A34" s="1" t="s">
        <v>34</v>
      </c>
      <c r="B34" s="1"/>
      <c r="C34" s="1"/>
    </row>
    <row r="35" spans="1:3" ht="28.5" customHeight="1">
      <c r="A35" s="1" t="s">
        <v>35</v>
      </c>
      <c r="B35" s="1"/>
      <c r="C35" s="1"/>
    </row>
    <row r="36" spans="1:3" ht="27.5" customHeight="1">
      <c r="A36" s="1" t="s">
        <v>110</v>
      </c>
      <c r="B36" s="1"/>
      <c r="C36" s="1"/>
    </row>
    <row r="37" spans="1:3" ht="37" customHeight="1">
      <c r="A37" s="1" t="s">
        <v>36</v>
      </c>
      <c r="B37" s="1"/>
      <c r="C37" s="1"/>
    </row>
  </sheetData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7"/>
  <sheetViews>
    <sheetView topLeftCell="A22" workbookViewId="0">
      <selection activeCell="C34" sqref="C34"/>
    </sheetView>
  </sheetViews>
  <sheetFormatPr defaultRowHeight="14.5"/>
  <cols>
    <col min="1" max="1" width="45.453125" customWidth="1"/>
    <col min="2" max="2" width="15.08984375" customWidth="1"/>
    <col min="3" max="3" width="15" customWidth="1"/>
  </cols>
  <sheetData>
    <row r="1" spans="1:3" ht="28" customHeight="1">
      <c r="A1" s="1" t="s">
        <v>0</v>
      </c>
      <c r="B1" s="1"/>
      <c r="C1" s="1"/>
    </row>
    <row r="2" spans="1:3" ht="13.5" customHeight="1">
      <c r="A2" s="1" t="s">
        <v>50</v>
      </c>
      <c r="B2" s="1" t="s">
        <v>48</v>
      </c>
      <c r="C2" s="1"/>
    </row>
    <row r="3" spans="1:3" ht="12.5" customHeight="1">
      <c r="A3" s="1" t="s">
        <v>3</v>
      </c>
      <c r="B3" s="1"/>
      <c r="C3" s="1"/>
    </row>
    <row r="4" spans="1:3" ht="17.5" customHeight="1">
      <c r="A4" s="1" t="s">
        <v>4</v>
      </c>
      <c r="B4" s="1"/>
      <c r="C4" s="1"/>
    </row>
    <row r="5" spans="1:3" ht="15" customHeight="1">
      <c r="A5" s="1" t="s">
        <v>116</v>
      </c>
      <c r="B5" s="1"/>
      <c r="C5" s="1"/>
    </row>
    <row r="6" spans="1:3" ht="4" customHeight="1">
      <c r="A6" s="1"/>
      <c r="B6" s="1"/>
      <c r="C6" s="1"/>
    </row>
    <row r="7" spans="1:3" ht="15" customHeight="1">
      <c r="A7" s="1" t="s">
        <v>5</v>
      </c>
      <c r="B7" s="1" t="s">
        <v>6</v>
      </c>
      <c r="C7" s="1" t="s">
        <v>7</v>
      </c>
    </row>
    <row r="8" spans="1:3" ht="16.5" customHeight="1">
      <c r="A8" s="2" t="s">
        <v>8</v>
      </c>
      <c r="B8" s="1"/>
      <c r="C8" s="2">
        <v>59368.46</v>
      </c>
    </row>
    <row r="9" spans="1:3" ht="45" customHeight="1">
      <c r="A9" s="3" t="s">
        <v>9</v>
      </c>
      <c r="B9" s="4">
        <f>C9/12</f>
        <v>71241.28833333333</v>
      </c>
      <c r="C9" s="1">
        <v>854895.46</v>
      </c>
    </row>
    <row r="10" spans="1:3" ht="45.5" customHeight="1">
      <c r="A10" s="3" t="s">
        <v>10</v>
      </c>
      <c r="B10" s="4">
        <f t="shared" ref="B10:B28" si="0">C10/12</f>
        <v>1475.8333333333333</v>
      </c>
      <c r="C10" s="1">
        <v>17710</v>
      </c>
    </row>
    <row r="11" spans="1:3" ht="21.5" customHeight="1">
      <c r="A11" s="2" t="s">
        <v>11</v>
      </c>
      <c r="B11" s="4">
        <f t="shared" si="0"/>
        <v>72717.121666666659</v>
      </c>
      <c r="C11" s="2">
        <f>SUM(C9:C10)</f>
        <v>872605.46</v>
      </c>
    </row>
    <row r="12" spans="1:3" ht="16.5" customHeight="1">
      <c r="A12" s="2" t="s">
        <v>12</v>
      </c>
      <c r="B12" s="4">
        <f t="shared" si="0"/>
        <v>0</v>
      </c>
      <c r="C12" s="1"/>
    </row>
    <row r="13" spans="1:3" ht="77" customHeight="1">
      <c r="A13" s="3" t="s">
        <v>13</v>
      </c>
      <c r="B13" s="4">
        <f t="shared" si="0"/>
        <v>17856.681666666667</v>
      </c>
      <c r="C13" s="1">
        <f>175462.02+38818.16</f>
        <v>214280.18</v>
      </c>
    </row>
    <row r="14" spans="1:3" ht="81.5" customHeight="1">
      <c r="A14" s="3" t="s">
        <v>14</v>
      </c>
      <c r="B14" s="4">
        <f t="shared" si="0"/>
        <v>13575.593333333332</v>
      </c>
      <c r="C14" s="1">
        <f>46661.24+116245.88</f>
        <v>162907.12</v>
      </c>
    </row>
    <row r="15" spans="1:3" ht="63" customHeight="1">
      <c r="A15" s="3" t="s">
        <v>15</v>
      </c>
      <c r="B15" s="4">
        <f t="shared" si="0"/>
        <v>0</v>
      </c>
      <c r="C15" s="1"/>
    </row>
    <row r="16" spans="1:3" ht="15.5">
      <c r="A16" s="1" t="s">
        <v>16</v>
      </c>
      <c r="B16" s="4">
        <f t="shared" si="0"/>
        <v>12954.5</v>
      </c>
      <c r="C16" s="1">
        <v>155454</v>
      </c>
    </row>
    <row r="17" spans="1:3" ht="15.5">
      <c r="A17" s="1" t="s">
        <v>17</v>
      </c>
      <c r="B17" s="4">
        <f t="shared" si="0"/>
        <v>2500.16</v>
      </c>
      <c r="C17" s="1">
        <v>30001.919999999998</v>
      </c>
    </row>
    <row r="18" spans="1:3" ht="15.5">
      <c r="A18" s="1" t="s">
        <v>18</v>
      </c>
      <c r="B18" s="4">
        <f t="shared" si="0"/>
        <v>230.05999999999997</v>
      </c>
      <c r="C18" s="1">
        <v>2760.72</v>
      </c>
    </row>
    <row r="19" spans="1:3" ht="15.5">
      <c r="A19" s="1" t="s">
        <v>19</v>
      </c>
      <c r="B19" s="4">
        <f t="shared" si="0"/>
        <v>0</v>
      </c>
      <c r="C19" s="1"/>
    </row>
    <row r="20" spans="1:3" ht="15.5">
      <c r="A20" s="1" t="s">
        <v>20</v>
      </c>
      <c r="B20" s="4">
        <f t="shared" si="0"/>
        <v>1422.3266666666666</v>
      </c>
      <c r="C20" s="1">
        <v>17067.919999999998</v>
      </c>
    </row>
    <row r="21" spans="1:3" ht="15.5">
      <c r="A21" s="1" t="s">
        <v>21</v>
      </c>
      <c r="B21" s="4">
        <f t="shared" si="0"/>
        <v>1589.5216666666665</v>
      </c>
      <c r="C21" s="1">
        <v>19074.259999999998</v>
      </c>
    </row>
    <row r="22" spans="1:3" ht="15.5">
      <c r="A22" s="1" t="s">
        <v>22</v>
      </c>
      <c r="B22" s="4">
        <f t="shared" si="0"/>
        <v>6236.8983333333335</v>
      </c>
      <c r="C22" s="1">
        <v>74842.78</v>
      </c>
    </row>
    <row r="23" spans="1:3" ht="15.5">
      <c r="A23" s="1" t="s">
        <v>23</v>
      </c>
      <c r="B23" s="4">
        <f t="shared" si="0"/>
        <v>738.07083333333333</v>
      </c>
      <c r="C23" s="1">
        <v>8856.85</v>
      </c>
    </row>
    <row r="24" spans="1:3" ht="15.5">
      <c r="A24" s="1" t="s">
        <v>24</v>
      </c>
      <c r="B24" s="4">
        <f t="shared" si="0"/>
        <v>4324.3766666666661</v>
      </c>
      <c r="C24" s="1">
        <v>51892.52</v>
      </c>
    </row>
    <row r="25" spans="1:3" ht="15.5">
      <c r="A25" s="1" t="s">
        <v>25</v>
      </c>
      <c r="B25" s="4">
        <f t="shared" si="0"/>
        <v>366.76583333333332</v>
      </c>
      <c r="C25" s="1">
        <v>4401.1899999999996</v>
      </c>
    </row>
    <row r="26" spans="1:3" ht="15.5">
      <c r="A26" s="1" t="s">
        <v>26</v>
      </c>
      <c r="B26" s="4">
        <f t="shared" si="0"/>
        <v>0</v>
      </c>
      <c r="C26" s="1"/>
    </row>
    <row r="27" spans="1:3" ht="15.5">
      <c r="A27" s="1" t="s">
        <v>27</v>
      </c>
      <c r="B27" s="4">
        <f t="shared" si="0"/>
        <v>14182.685833333335</v>
      </c>
      <c r="C27" s="1">
        <v>170192.23</v>
      </c>
    </row>
    <row r="28" spans="1:3" ht="14" customHeight="1">
      <c r="A28" s="2" t="s">
        <v>28</v>
      </c>
      <c r="B28" s="4">
        <f t="shared" si="0"/>
        <v>75977.640833333338</v>
      </c>
      <c r="C28" s="2">
        <f>SUM(C13:C27)</f>
        <v>911731.69000000006</v>
      </c>
    </row>
    <row r="29" spans="1:3" ht="21.5" customHeight="1">
      <c r="A29" s="2" t="s">
        <v>29</v>
      </c>
      <c r="B29" s="1"/>
      <c r="C29" s="2">
        <v>20242.23</v>
      </c>
    </row>
    <row r="30" spans="1:3" ht="25" customHeight="1">
      <c r="A30" s="2" t="s">
        <v>30</v>
      </c>
      <c r="B30" s="1"/>
      <c r="C30" s="2"/>
    </row>
    <row r="31" spans="1:3" ht="46" customHeight="1">
      <c r="A31" s="3" t="s">
        <v>31</v>
      </c>
      <c r="B31" s="1"/>
      <c r="C31" s="1">
        <v>473181.65</v>
      </c>
    </row>
    <row r="32" spans="1:3" ht="62" hidden="1">
      <c r="A32" s="3" t="s">
        <v>32</v>
      </c>
      <c r="B32" s="1"/>
      <c r="C32" s="1"/>
    </row>
    <row r="33" spans="1:3" ht="23" customHeight="1">
      <c r="A33" s="2" t="s">
        <v>33</v>
      </c>
      <c r="B33" s="2"/>
      <c r="C33" s="2">
        <v>-452939.42</v>
      </c>
    </row>
    <row r="34" spans="1:3" ht="33" customHeight="1">
      <c r="A34" s="1" t="s">
        <v>34</v>
      </c>
      <c r="B34" s="1"/>
      <c r="C34" s="1"/>
    </row>
    <row r="35" spans="1:3" ht="26.5" customHeight="1">
      <c r="A35" s="1" t="s">
        <v>35</v>
      </c>
      <c r="B35" s="1"/>
      <c r="C35" s="1"/>
    </row>
    <row r="36" spans="1:3" ht="22" customHeight="1">
      <c r="A36" s="1" t="s">
        <v>112</v>
      </c>
      <c r="B36" s="1"/>
      <c r="C36" s="1"/>
    </row>
    <row r="37" spans="1:3" ht="24.5" customHeight="1">
      <c r="A37" s="1" t="s">
        <v>36</v>
      </c>
      <c r="B37" s="1"/>
      <c r="C37" s="1"/>
    </row>
  </sheetData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7"/>
  <sheetViews>
    <sheetView topLeftCell="A22" workbookViewId="0">
      <selection activeCell="D33" sqref="D33"/>
    </sheetView>
  </sheetViews>
  <sheetFormatPr defaultRowHeight="14.5"/>
  <cols>
    <col min="1" max="1" width="46.08984375" customWidth="1"/>
    <col min="2" max="2" width="15.7265625" customWidth="1"/>
    <col min="3" max="3" width="14.08984375" customWidth="1"/>
  </cols>
  <sheetData>
    <row r="1" spans="1:3" ht="17" customHeight="1">
      <c r="A1" s="1" t="s">
        <v>0</v>
      </c>
      <c r="B1" s="1"/>
      <c r="C1" s="1"/>
    </row>
    <row r="2" spans="1:3" ht="15" customHeight="1">
      <c r="A2" s="1" t="s">
        <v>51</v>
      </c>
      <c r="B2" s="1" t="s">
        <v>48</v>
      </c>
      <c r="C2" s="1"/>
    </row>
    <row r="3" spans="1:3" ht="14.5" customHeight="1">
      <c r="A3" s="1" t="s">
        <v>3</v>
      </c>
      <c r="B3" s="1"/>
      <c r="C3" s="1"/>
    </row>
    <row r="4" spans="1:3" ht="12.5" customHeight="1">
      <c r="A4" s="1" t="s">
        <v>4</v>
      </c>
      <c r="B4" s="1"/>
      <c r="C4" s="1"/>
    </row>
    <row r="5" spans="1:3" ht="14" customHeight="1">
      <c r="A5" s="1" t="s">
        <v>116</v>
      </c>
      <c r="B5" s="1"/>
      <c r="C5" s="1"/>
    </row>
    <row r="6" spans="1:3" ht="7.5" customHeight="1">
      <c r="A6" s="1"/>
      <c r="B6" s="1"/>
      <c r="C6" s="1"/>
    </row>
    <row r="7" spans="1:3" ht="18.5" customHeight="1">
      <c r="A7" s="1" t="s">
        <v>5</v>
      </c>
      <c r="B7" s="1" t="s">
        <v>6</v>
      </c>
      <c r="C7" s="1" t="s">
        <v>7</v>
      </c>
    </row>
    <row r="8" spans="1:3" ht="21" customHeight="1">
      <c r="A8" s="2" t="s">
        <v>8</v>
      </c>
      <c r="B8" s="1"/>
      <c r="C8" s="2">
        <v>67522.92</v>
      </c>
    </row>
    <row r="9" spans="1:3" ht="33.5" customHeight="1">
      <c r="A9" s="3" t="s">
        <v>9</v>
      </c>
      <c r="B9" s="4">
        <f>C9/12</f>
        <v>51951.833333333336</v>
      </c>
      <c r="C9" s="1">
        <v>623422</v>
      </c>
    </row>
    <row r="10" spans="1:3" ht="49.5" customHeight="1">
      <c r="A10" s="3" t="s">
        <v>10</v>
      </c>
      <c r="B10" s="4">
        <f t="shared" ref="B10:B28" si="0">C10/12</f>
        <v>12904.183333333334</v>
      </c>
      <c r="C10" s="1">
        <f>104521.4+50328.8</f>
        <v>154850.20000000001</v>
      </c>
    </row>
    <row r="11" spans="1:3" ht="18.5" customHeight="1">
      <c r="A11" s="2" t="s">
        <v>11</v>
      </c>
      <c r="B11" s="4">
        <f t="shared" si="0"/>
        <v>64856.016666666663</v>
      </c>
      <c r="C11" s="2">
        <f>SUM(C9:C10)</f>
        <v>778272.2</v>
      </c>
    </row>
    <row r="12" spans="1:3" ht="18.5" customHeight="1">
      <c r="A12" s="2" t="s">
        <v>12</v>
      </c>
      <c r="B12" s="4">
        <f t="shared" si="0"/>
        <v>0</v>
      </c>
      <c r="C12" s="1"/>
    </row>
    <row r="13" spans="1:3" ht="76.5" customHeight="1">
      <c r="A13" s="3" t="s">
        <v>13</v>
      </c>
      <c r="B13" s="4">
        <f t="shared" si="0"/>
        <v>18425.983333333334</v>
      </c>
      <c r="C13" s="1">
        <f>181056.12+40055.68</f>
        <v>221111.8</v>
      </c>
    </row>
    <row r="14" spans="1:3" ht="74.5" customHeight="1">
      <c r="A14" s="3" t="s">
        <v>14</v>
      </c>
      <c r="B14" s="4">
        <f t="shared" si="0"/>
        <v>10784.75</v>
      </c>
      <c r="C14" s="1">
        <f>50391.24+79025.76</f>
        <v>129417</v>
      </c>
    </row>
    <row r="15" spans="1:3" ht="44" customHeight="1">
      <c r="A15" s="3" t="s">
        <v>15</v>
      </c>
      <c r="B15" s="4">
        <f t="shared" si="0"/>
        <v>0</v>
      </c>
      <c r="C15" s="1"/>
    </row>
    <row r="16" spans="1:3" ht="15" customHeight="1">
      <c r="A16" s="1" t="s">
        <v>16</v>
      </c>
      <c r="B16" s="4">
        <f t="shared" si="0"/>
        <v>3308.75</v>
      </c>
      <c r="C16" s="1">
        <v>39705</v>
      </c>
    </row>
    <row r="17" spans="1:3" ht="16" customHeight="1">
      <c r="A17" s="1" t="s">
        <v>17</v>
      </c>
      <c r="B17" s="4">
        <f t="shared" si="0"/>
        <v>2613.31</v>
      </c>
      <c r="C17" s="1">
        <v>31359.72</v>
      </c>
    </row>
    <row r="18" spans="1:3" ht="15.5">
      <c r="A18" s="1" t="s">
        <v>18</v>
      </c>
      <c r="B18" s="4">
        <f t="shared" si="0"/>
        <v>145.75</v>
      </c>
      <c r="C18" s="1">
        <v>1749</v>
      </c>
    </row>
    <row r="19" spans="1:3" ht="15.5">
      <c r="A19" s="1" t="s">
        <v>19</v>
      </c>
      <c r="B19" s="4">
        <f t="shared" si="0"/>
        <v>0</v>
      </c>
      <c r="C19" s="1"/>
    </row>
    <row r="20" spans="1:3" ht="15.5">
      <c r="A20" s="1" t="s">
        <v>20</v>
      </c>
      <c r="B20" s="4">
        <f t="shared" si="0"/>
        <v>1010.91</v>
      </c>
      <c r="C20" s="1">
        <v>12130.92</v>
      </c>
    </row>
    <row r="21" spans="1:3" ht="15.5">
      <c r="A21" s="1" t="s">
        <v>21</v>
      </c>
      <c r="B21" s="4">
        <f t="shared" si="0"/>
        <v>1609.1025</v>
      </c>
      <c r="C21" s="1">
        <v>19309.23</v>
      </c>
    </row>
    <row r="22" spans="1:3" ht="15.5">
      <c r="A22" s="1" t="s">
        <v>22</v>
      </c>
      <c r="B22" s="4">
        <f t="shared" si="0"/>
        <v>6411.104166666667</v>
      </c>
      <c r="C22" s="1">
        <v>76933.25</v>
      </c>
    </row>
    <row r="23" spans="1:3" ht="15.5">
      <c r="A23" s="1" t="s">
        <v>23</v>
      </c>
      <c r="B23" s="4">
        <f t="shared" si="0"/>
        <v>644.31666666666672</v>
      </c>
      <c r="C23" s="1">
        <v>7731.8</v>
      </c>
    </row>
    <row r="24" spans="1:3" ht="15.5">
      <c r="A24" s="1" t="s">
        <v>24</v>
      </c>
      <c r="B24" s="4">
        <f t="shared" si="0"/>
        <v>4352.458333333333</v>
      </c>
      <c r="C24" s="1">
        <v>52229.5</v>
      </c>
    </row>
    <row r="25" spans="1:3" ht="15.5">
      <c r="A25" s="1" t="s">
        <v>25</v>
      </c>
      <c r="B25" s="4">
        <f t="shared" si="0"/>
        <v>366.43416666666667</v>
      </c>
      <c r="C25" s="1">
        <v>4397.21</v>
      </c>
    </row>
    <row r="26" spans="1:3" ht="15.5">
      <c r="A26" s="1" t="s">
        <v>26</v>
      </c>
      <c r="B26" s="4">
        <f t="shared" si="0"/>
        <v>0</v>
      </c>
      <c r="C26" s="1"/>
    </row>
    <row r="27" spans="1:3" ht="15.5">
      <c r="A27" s="1" t="s">
        <v>27</v>
      </c>
      <c r="B27" s="4">
        <f t="shared" si="0"/>
        <v>14578.829166666668</v>
      </c>
      <c r="C27" s="1">
        <v>174945.95</v>
      </c>
    </row>
    <row r="28" spans="1:3" ht="15.5">
      <c r="A28" s="2" t="s">
        <v>28</v>
      </c>
      <c r="B28" s="4">
        <f t="shared" si="0"/>
        <v>64251.698333333326</v>
      </c>
      <c r="C28" s="2">
        <f>SUM(C13:C27)</f>
        <v>771020.37999999989</v>
      </c>
    </row>
    <row r="29" spans="1:3" ht="22" customHeight="1">
      <c r="A29" s="2" t="s">
        <v>29</v>
      </c>
      <c r="B29" s="1"/>
      <c r="C29" s="2">
        <v>74774.740000000005</v>
      </c>
    </row>
    <row r="30" spans="1:3" ht="25.5" customHeight="1">
      <c r="A30" s="2" t="s">
        <v>30</v>
      </c>
      <c r="B30" s="1"/>
      <c r="C30" s="2"/>
    </row>
    <row r="31" spans="1:3" ht="61.5" customHeight="1">
      <c r="A31" s="3" t="s">
        <v>31</v>
      </c>
      <c r="B31" s="1"/>
      <c r="C31" s="1">
        <v>69061.25</v>
      </c>
    </row>
    <row r="32" spans="1:3" ht="62" hidden="1">
      <c r="A32" s="3" t="s">
        <v>32</v>
      </c>
      <c r="B32" s="1"/>
      <c r="C32" s="1"/>
    </row>
    <row r="33" spans="1:3" ht="25" customHeight="1">
      <c r="A33" s="2" t="s">
        <v>33</v>
      </c>
      <c r="B33" s="2"/>
      <c r="C33" s="2">
        <v>5713.49</v>
      </c>
    </row>
    <row r="34" spans="1:3" ht="29.5" customHeight="1">
      <c r="A34" s="1" t="s">
        <v>34</v>
      </c>
      <c r="B34" s="1"/>
      <c r="C34" s="1"/>
    </row>
    <row r="35" spans="1:3" ht="28" customHeight="1">
      <c r="A35" s="1" t="s">
        <v>35</v>
      </c>
      <c r="B35" s="1"/>
      <c r="C35" s="1"/>
    </row>
    <row r="36" spans="1:3" ht="31.5" customHeight="1">
      <c r="A36" s="1" t="s">
        <v>113</v>
      </c>
      <c r="B36" s="1"/>
      <c r="C36" s="1"/>
    </row>
    <row r="37" spans="1:3" ht="21" customHeight="1">
      <c r="A37" s="1" t="s">
        <v>36</v>
      </c>
      <c r="B37" s="1"/>
      <c r="C37" s="1"/>
    </row>
  </sheetData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7"/>
  <sheetViews>
    <sheetView topLeftCell="A20" workbookViewId="0">
      <selection activeCell="C34" sqref="C34"/>
    </sheetView>
  </sheetViews>
  <sheetFormatPr defaultRowHeight="14.5"/>
  <cols>
    <col min="1" max="1" width="43" customWidth="1"/>
    <col min="2" max="2" width="14.54296875" customWidth="1"/>
    <col min="3" max="3" width="15.7265625" customWidth="1"/>
  </cols>
  <sheetData>
    <row r="1" spans="1:3" ht="19" customHeight="1">
      <c r="A1" s="1" t="s">
        <v>0</v>
      </c>
      <c r="B1" s="1"/>
      <c r="C1" s="1"/>
    </row>
    <row r="2" spans="1:3" ht="12.5" customHeight="1">
      <c r="A2" s="1" t="s">
        <v>52</v>
      </c>
      <c r="B2" s="1" t="s">
        <v>53</v>
      </c>
      <c r="C2" s="1"/>
    </row>
    <row r="3" spans="1:3" ht="14.5" customHeight="1">
      <c r="A3" s="1" t="s">
        <v>3</v>
      </c>
      <c r="B3" s="1"/>
      <c r="C3" s="1"/>
    </row>
    <row r="4" spans="1:3" ht="13" customHeight="1">
      <c r="A4" s="1" t="s">
        <v>4</v>
      </c>
      <c r="B4" s="1"/>
      <c r="C4" s="1"/>
    </row>
    <row r="5" spans="1:3" ht="16.5" customHeight="1">
      <c r="A5" s="1" t="s">
        <v>116</v>
      </c>
      <c r="B5" s="1"/>
      <c r="C5" s="1"/>
    </row>
    <row r="6" spans="1:3" ht="10" customHeight="1">
      <c r="A6" s="1"/>
      <c r="B6" s="1"/>
      <c r="C6" s="1"/>
    </row>
    <row r="7" spans="1:3" ht="17" customHeight="1">
      <c r="A7" s="1" t="s">
        <v>5</v>
      </c>
      <c r="B7" s="1" t="s">
        <v>6</v>
      </c>
      <c r="C7" s="1" t="s">
        <v>7</v>
      </c>
    </row>
    <row r="8" spans="1:3" ht="20.5" customHeight="1">
      <c r="A8" s="2" t="s">
        <v>8</v>
      </c>
      <c r="B8" s="1"/>
      <c r="C8" s="2">
        <v>11580.12</v>
      </c>
    </row>
    <row r="9" spans="1:3" ht="43" customHeight="1">
      <c r="A9" s="3" t="s">
        <v>9</v>
      </c>
      <c r="B9" s="4">
        <f>C9/12</f>
        <v>64821.626666666671</v>
      </c>
      <c r="C9" s="1">
        <v>777859.52</v>
      </c>
    </row>
    <row r="10" spans="1:3" ht="52.5" customHeight="1">
      <c r="A10" s="3" t="s">
        <v>10</v>
      </c>
      <c r="B10" s="4">
        <f t="shared" ref="B10:B28" si="0">C10/12</f>
        <v>3100.0883333333331</v>
      </c>
      <c r="C10" s="1">
        <f>19491.06+17710</f>
        <v>37201.06</v>
      </c>
    </row>
    <row r="11" spans="1:3" ht="18.5" customHeight="1">
      <c r="A11" s="2" t="s">
        <v>11</v>
      </c>
      <c r="B11" s="4">
        <f t="shared" si="0"/>
        <v>67921.715000000011</v>
      </c>
      <c r="C11" s="2">
        <f>SUM(C9:C10)</f>
        <v>815060.58000000007</v>
      </c>
    </row>
    <row r="12" spans="1:3" ht="21" customHeight="1">
      <c r="A12" s="2" t="s">
        <v>12</v>
      </c>
      <c r="B12" s="4">
        <f t="shared" si="0"/>
        <v>0</v>
      </c>
      <c r="C12" s="1"/>
    </row>
    <row r="13" spans="1:3" ht="75.5" customHeight="1">
      <c r="A13" s="3" t="s">
        <v>13</v>
      </c>
      <c r="B13" s="4">
        <f t="shared" si="0"/>
        <v>17233.306666666667</v>
      </c>
      <c r="C13" s="1">
        <f>169351.06+37448.62</f>
        <v>206799.68</v>
      </c>
    </row>
    <row r="14" spans="1:3" ht="77.5">
      <c r="A14" s="3" t="s">
        <v>14</v>
      </c>
      <c r="B14" s="4">
        <f t="shared" si="0"/>
        <v>9693.3566666666666</v>
      </c>
      <c r="C14" s="1">
        <f>45815.32+70504.96</f>
        <v>116320.28</v>
      </c>
    </row>
    <row r="15" spans="1:3" ht="61" customHeight="1">
      <c r="A15" s="3" t="s">
        <v>15</v>
      </c>
      <c r="B15" s="4">
        <f t="shared" si="0"/>
        <v>0</v>
      </c>
      <c r="C15" s="1"/>
    </row>
    <row r="16" spans="1:3" ht="15.5">
      <c r="A16" s="1" t="s">
        <v>16</v>
      </c>
      <c r="B16" s="4">
        <f t="shared" si="0"/>
        <v>116.33333333333333</v>
      </c>
      <c r="C16" s="1">
        <v>1396</v>
      </c>
    </row>
    <row r="17" spans="1:3" ht="15.5">
      <c r="A17" s="1" t="s">
        <v>17</v>
      </c>
      <c r="B17" s="4">
        <f t="shared" si="0"/>
        <v>2706.03</v>
      </c>
      <c r="C17" s="1">
        <v>32472.36</v>
      </c>
    </row>
    <row r="18" spans="1:3" ht="15.5">
      <c r="A18" s="1" t="s">
        <v>18</v>
      </c>
      <c r="B18" s="4">
        <f t="shared" si="0"/>
        <v>179.28</v>
      </c>
      <c r="C18" s="1">
        <v>2151.36</v>
      </c>
    </row>
    <row r="19" spans="1:3" ht="15.5">
      <c r="A19" s="1" t="s">
        <v>19</v>
      </c>
      <c r="B19" s="4">
        <f t="shared" si="0"/>
        <v>0</v>
      </c>
      <c r="C19" s="1"/>
    </row>
    <row r="20" spans="1:3" ht="15.5">
      <c r="A20" s="1" t="s">
        <v>20</v>
      </c>
      <c r="B20" s="4">
        <f t="shared" si="0"/>
        <v>1375.3074999999999</v>
      </c>
      <c r="C20" s="1">
        <v>16503.689999999999</v>
      </c>
    </row>
    <row r="21" spans="1:3" ht="15.5">
      <c r="A21" s="1" t="s">
        <v>21</v>
      </c>
      <c r="B21" s="4">
        <f t="shared" si="0"/>
        <v>1476.8091666666667</v>
      </c>
      <c r="C21" s="1">
        <v>17721.71</v>
      </c>
    </row>
    <row r="22" spans="1:3" ht="15.5">
      <c r="A22" s="1" t="s">
        <v>22</v>
      </c>
      <c r="B22" s="4">
        <f t="shared" si="0"/>
        <v>6225.0941666666668</v>
      </c>
      <c r="C22" s="1">
        <v>74701.13</v>
      </c>
    </row>
    <row r="23" spans="1:3" ht="15.5">
      <c r="A23" s="1" t="s">
        <v>23</v>
      </c>
      <c r="B23" s="4">
        <f t="shared" si="0"/>
        <v>66.965833333333336</v>
      </c>
      <c r="C23" s="1">
        <v>803.59</v>
      </c>
    </row>
    <row r="24" spans="1:3" ht="15.5">
      <c r="A24" s="1" t="s">
        <v>24</v>
      </c>
      <c r="B24" s="4">
        <f t="shared" si="0"/>
        <v>4039.2008333333338</v>
      </c>
      <c r="C24" s="1">
        <v>48470.41</v>
      </c>
    </row>
    <row r="25" spans="1:3" ht="15.5">
      <c r="A25" s="1" t="s">
        <v>25</v>
      </c>
      <c r="B25" s="4">
        <f t="shared" si="0"/>
        <v>295.49666666666667</v>
      </c>
      <c r="C25" s="1">
        <v>3545.96</v>
      </c>
    </row>
    <row r="26" spans="1:3" ht="15.5">
      <c r="A26" s="1" t="s">
        <v>26</v>
      </c>
      <c r="B26" s="4">
        <f t="shared" si="0"/>
        <v>0</v>
      </c>
      <c r="C26" s="1"/>
    </row>
    <row r="27" spans="1:3" ht="15.5">
      <c r="A27" s="1" t="s">
        <v>27</v>
      </c>
      <c r="B27" s="4">
        <f t="shared" si="0"/>
        <v>14155.843333333332</v>
      </c>
      <c r="C27" s="1">
        <v>169870.12</v>
      </c>
    </row>
    <row r="28" spans="1:3" ht="15.5">
      <c r="A28" s="2" t="s">
        <v>28</v>
      </c>
      <c r="B28" s="4">
        <f t="shared" si="0"/>
        <v>57563.02416666667</v>
      </c>
      <c r="C28" s="2">
        <f>SUM(C13:C27)</f>
        <v>690756.29</v>
      </c>
    </row>
    <row r="29" spans="1:3" ht="24.5" customHeight="1">
      <c r="A29" s="2" t="s">
        <v>29</v>
      </c>
      <c r="B29" s="1"/>
      <c r="C29" s="2">
        <v>135884.41</v>
      </c>
    </row>
    <row r="30" spans="1:3" ht="27" customHeight="1">
      <c r="A30" s="2" t="s">
        <v>30</v>
      </c>
      <c r="B30" s="1"/>
      <c r="C30" s="2"/>
    </row>
    <row r="31" spans="1:3" ht="43" customHeight="1">
      <c r="A31" s="3" t="s">
        <v>31</v>
      </c>
      <c r="B31" s="1"/>
      <c r="C31" s="1">
        <v>165815.64000000001</v>
      </c>
    </row>
    <row r="32" spans="1:3" ht="62" hidden="1">
      <c r="A32" s="3" t="s">
        <v>32</v>
      </c>
      <c r="B32" s="1"/>
      <c r="C32" s="1"/>
    </row>
    <row r="33" spans="1:3" ht="32" customHeight="1">
      <c r="A33" s="2" t="s">
        <v>33</v>
      </c>
      <c r="B33" s="2"/>
      <c r="C33" s="2">
        <v>-29931.23</v>
      </c>
    </row>
    <row r="34" spans="1:3" ht="35" customHeight="1">
      <c r="A34" s="1" t="s">
        <v>34</v>
      </c>
      <c r="B34" s="1"/>
      <c r="C34" s="1"/>
    </row>
    <row r="35" spans="1:3" ht="33" customHeight="1">
      <c r="A35" s="1" t="s">
        <v>35</v>
      </c>
      <c r="B35" s="1"/>
      <c r="C35" s="1"/>
    </row>
    <row r="36" spans="1:3" ht="27.5" customHeight="1">
      <c r="A36" s="1" t="s">
        <v>112</v>
      </c>
      <c r="B36" s="1"/>
      <c r="C36" s="1"/>
    </row>
    <row r="37" spans="1:3" ht="27.5" customHeight="1">
      <c r="A37" s="1" t="s">
        <v>36</v>
      </c>
      <c r="B37" s="1"/>
      <c r="C37" s="1"/>
    </row>
  </sheetData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7"/>
  <sheetViews>
    <sheetView topLeftCell="A21" workbookViewId="0">
      <selection activeCell="C34" sqref="C34"/>
    </sheetView>
  </sheetViews>
  <sheetFormatPr defaultRowHeight="14.5"/>
  <cols>
    <col min="1" max="1" width="45.54296875" customWidth="1"/>
    <col min="2" max="2" width="17.26953125" customWidth="1"/>
    <col min="3" max="3" width="17.36328125" customWidth="1"/>
  </cols>
  <sheetData>
    <row r="1" spans="1:3" ht="15.5">
      <c r="A1" s="1" t="s">
        <v>0</v>
      </c>
      <c r="B1" s="1"/>
      <c r="C1" s="1"/>
    </row>
    <row r="2" spans="1:3" ht="15.5">
      <c r="A2" s="1" t="s">
        <v>54</v>
      </c>
      <c r="B2" s="1" t="s">
        <v>53</v>
      </c>
      <c r="C2" s="1"/>
    </row>
    <row r="3" spans="1:3" ht="15.5">
      <c r="A3" s="1" t="s">
        <v>3</v>
      </c>
      <c r="B3" s="1"/>
      <c r="C3" s="1"/>
    </row>
    <row r="4" spans="1:3" ht="15.5">
      <c r="A4" s="1" t="s">
        <v>4</v>
      </c>
      <c r="B4" s="1"/>
      <c r="C4" s="1"/>
    </row>
    <row r="5" spans="1:3" ht="15.5">
      <c r="A5" s="1" t="s">
        <v>116</v>
      </c>
      <c r="B5" s="1"/>
      <c r="C5" s="1"/>
    </row>
    <row r="6" spans="1:3" ht="6" customHeight="1">
      <c r="A6" s="1"/>
      <c r="B6" s="1"/>
      <c r="C6" s="1"/>
    </row>
    <row r="7" spans="1:3" ht="15.5">
      <c r="A7" s="1" t="s">
        <v>5</v>
      </c>
      <c r="B7" s="1" t="s">
        <v>6</v>
      </c>
      <c r="C7" s="1" t="s">
        <v>7</v>
      </c>
    </row>
    <row r="8" spans="1:3" ht="15.5">
      <c r="A8" s="2" t="s">
        <v>8</v>
      </c>
      <c r="B8" s="1"/>
      <c r="C8" s="2">
        <v>-110507.15</v>
      </c>
    </row>
    <row r="9" spans="1:3" ht="47" customHeight="1">
      <c r="A9" s="3" t="s">
        <v>9</v>
      </c>
      <c r="B9" s="4">
        <f>C9/12</f>
        <v>47670.045833333337</v>
      </c>
      <c r="C9" s="1">
        <v>572040.55000000005</v>
      </c>
    </row>
    <row r="10" spans="1:3" ht="49" customHeight="1">
      <c r="A10" s="3" t="s">
        <v>10</v>
      </c>
      <c r="B10" s="4">
        <f t="shared" ref="B10:B28" si="0">C10/12</f>
        <v>433.33333333333331</v>
      </c>
      <c r="C10" s="1">
        <v>5200</v>
      </c>
    </row>
    <row r="11" spans="1:3" ht="20" customHeight="1">
      <c r="A11" s="2" t="s">
        <v>11</v>
      </c>
      <c r="B11" s="4">
        <f t="shared" si="0"/>
        <v>48103.379166666673</v>
      </c>
      <c r="C11" s="2">
        <f>SUM(C9:C10)</f>
        <v>577240.55000000005</v>
      </c>
    </row>
    <row r="12" spans="1:3" ht="18" customHeight="1">
      <c r="A12" s="2" t="s">
        <v>12</v>
      </c>
      <c r="B12" s="4">
        <f t="shared" si="0"/>
        <v>0</v>
      </c>
      <c r="C12" s="1"/>
    </row>
    <row r="13" spans="1:3" ht="74.5" customHeight="1">
      <c r="A13" s="3" t="s">
        <v>13</v>
      </c>
      <c r="B13" s="4">
        <f t="shared" si="0"/>
        <v>12261.654999999999</v>
      </c>
      <c r="C13" s="1">
        <f>120494.78+26645.08</f>
        <v>147139.85999999999</v>
      </c>
    </row>
    <row r="14" spans="1:3" ht="77.5">
      <c r="A14" s="3" t="s">
        <v>14</v>
      </c>
      <c r="B14" s="4">
        <f t="shared" si="0"/>
        <v>7003.878333333334</v>
      </c>
      <c r="C14" s="1">
        <f>39628.36+44418.18</f>
        <v>84046.540000000008</v>
      </c>
    </row>
    <row r="15" spans="1:3" ht="45.5" customHeight="1">
      <c r="A15" s="3" t="s">
        <v>15</v>
      </c>
      <c r="B15" s="4">
        <f t="shared" si="0"/>
        <v>0</v>
      </c>
      <c r="C15" s="1"/>
    </row>
    <row r="16" spans="1:3" ht="15.5">
      <c r="A16" s="1" t="s">
        <v>16</v>
      </c>
      <c r="B16" s="4">
        <f t="shared" si="0"/>
        <v>1455.4166666666667</v>
      </c>
      <c r="C16" s="1">
        <v>17465</v>
      </c>
    </row>
    <row r="17" spans="1:3" ht="15.5">
      <c r="A17" s="1" t="s">
        <v>17</v>
      </c>
      <c r="B17" s="4">
        <f t="shared" si="0"/>
        <v>1924.1599999999999</v>
      </c>
      <c r="C17" s="1">
        <v>23089.919999999998</v>
      </c>
    </row>
    <row r="18" spans="1:3" ht="15.5">
      <c r="A18" s="1" t="s">
        <v>18</v>
      </c>
      <c r="B18" s="4">
        <f t="shared" si="0"/>
        <v>121.9875</v>
      </c>
      <c r="C18" s="1">
        <v>1463.85</v>
      </c>
    </row>
    <row r="19" spans="1:3" ht="15.5">
      <c r="A19" s="1" t="s">
        <v>19</v>
      </c>
      <c r="B19" s="4">
        <f t="shared" si="0"/>
        <v>0</v>
      </c>
      <c r="C19" s="1"/>
    </row>
    <row r="20" spans="1:3" ht="15.5">
      <c r="A20" s="1" t="s">
        <v>20</v>
      </c>
      <c r="B20" s="4">
        <f t="shared" si="0"/>
        <v>1175.4766666666667</v>
      </c>
      <c r="C20" s="1">
        <v>14105.72</v>
      </c>
    </row>
    <row r="21" spans="1:3" ht="15.5">
      <c r="A21" s="1" t="s">
        <v>21</v>
      </c>
      <c r="B21" s="4">
        <f t="shared" si="0"/>
        <v>1041.0108333333333</v>
      </c>
      <c r="C21" s="1">
        <v>12492.13</v>
      </c>
    </row>
    <row r="22" spans="1:3" ht="15.5">
      <c r="A22" s="1" t="s">
        <v>22</v>
      </c>
      <c r="B22" s="4">
        <f t="shared" si="0"/>
        <v>4349.1733333333332</v>
      </c>
      <c r="C22" s="1">
        <v>52190.080000000002</v>
      </c>
    </row>
    <row r="23" spans="1:3" ht="15.5">
      <c r="A23" s="1" t="s">
        <v>23</v>
      </c>
      <c r="B23" s="4">
        <f t="shared" si="0"/>
        <v>65.635833333333338</v>
      </c>
      <c r="C23" s="1">
        <v>787.63</v>
      </c>
    </row>
    <row r="24" spans="1:3" ht="15.5">
      <c r="A24" s="1" t="s">
        <v>24</v>
      </c>
      <c r="B24" s="4">
        <f t="shared" si="0"/>
        <v>2860.6341666666667</v>
      </c>
      <c r="C24" s="1">
        <v>34327.61</v>
      </c>
    </row>
    <row r="25" spans="1:3" ht="15.5">
      <c r="A25" s="1" t="s">
        <v>25</v>
      </c>
      <c r="B25" s="4">
        <f t="shared" si="0"/>
        <v>249.21250000000001</v>
      </c>
      <c r="C25" s="1">
        <v>2990.55</v>
      </c>
    </row>
    <row r="26" spans="1:3" ht="15.5">
      <c r="A26" s="1" t="s">
        <v>26</v>
      </c>
      <c r="B26" s="4">
        <f t="shared" si="0"/>
        <v>0</v>
      </c>
      <c r="C26" s="1"/>
    </row>
    <row r="27" spans="1:3" ht="15.5">
      <c r="A27" s="1" t="s">
        <v>27</v>
      </c>
      <c r="B27" s="4">
        <f t="shared" si="0"/>
        <v>9890.0058333333345</v>
      </c>
      <c r="C27" s="1">
        <v>118680.07</v>
      </c>
    </row>
    <row r="28" spans="1:3" ht="15.5">
      <c r="A28" s="2" t="s">
        <v>28</v>
      </c>
      <c r="B28" s="4">
        <f t="shared" si="0"/>
        <v>42398.246666666666</v>
      </c>
      <c r="C28" s="2">
        <f>SUM(C13:C27)</f>
        <v>508778.95999999996</v>
      </c>
    </row>
    <row r="29" spans="1:3" ht="23.5" customHeight="1">
      <c r="A29" s="2" t="s">
        <v>29</v>
      </c>
      <c r="B29" s="1"/>
      <c r="C29" s="2"/>
    </row>
    <row r="30" spans="1:3" ht="35.5" customHeight="1">
      <c r="A30" s="2" t="s">
        <v>30</v>
      </c>
      <c r="B30" s="1"/>
      <c r="C30" s="2">
        <v>42045.56</v>
      </c>
    </row>
    <row r="31" spans="1:3" ht="31">
      <c r="A31" s="3" t="s">
        <v>31</v>
      </c>
      <c r="B31" s="1"/>
      <c r="C31" s="1">
        <v>152079.37</v>
      </c>
    </row>
    <row r="32" spans="1:3" ht="1" customHeight="1">
      <c r="A32" s="3" t="s">
        <v>32</v>
      </c>
      <c r="B32" s="1"/>
      <c r="C32" s="1">
        <v>-208074.23999999999</v>
      </c>
    </row>
    <row r="33" spans="1:3" ht="15.5">
      <c r="A33" s="2" t="s">
        <v>33</v>
      </c>
      <c r="B33" s="2"/>
      <c r="C33" s="2">
        <v>-194124.93</v>
      </c>
    </row>
    <row r="34" spans="1:3" ht="33.5" customHeight="1">
      <c r="A34" s="1" t="s">
        <v>34</v>
      </c>
      <c r="B34" s="1"/>
      <c r="C34" s="1"/>
    </row>
    <row r="35" spans="1:3" ht="29" customHeight="1">
      <c r="A35" s="1" t="s">
        <v>35</v>
      </c>
      <c r="B35" s="1"/>
      <c r="C35" s="1"/>
    </row>
    <row r="36" spans="1:3" ht="24" customHeight="1">
      <c r="A36" s="1" t="s">
        <v>112</v>
      </c>
      <c r="B36" s="1"/>
      <c r="C36" s="1"/>
    </row>
    <row r="37" spans="1:3" ht="15.5">
      <c r="A37" s="1" t="s">
        <v>36</v>
      </c>
      <c r="B37" s="1"/>
      <c r="C37" s="1"/>
    </row>
  </sheetData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7"/>
  <sheetViews>
    <sheetView topLeftCell="A4" workbookViewId="0">
      <selection activeCell="D27" sqref="D27"/>
    </sheetView>
  </sheetViews>
  <sheetFormatPr defaultRowHeight="14.5"/>
  <cols>
    <col min="1" max="1" width="45.08984375" customWidth="1"/>
    <col min="2" max="2" width="16.453125" customWidth="1"/>
    <col min="3" max="3" width="16.81640625" customWidth="1"/>
  </cols>
  <sheetData>
    <row r="1" spans="1:3" ht="15.5">
      <c r="A1" s="1" t="s">
        <v>0</v>
      </c>
      <c r="B1" s="1"/>
      <c r="C1" s="1"/>
    </row>
    <row r="2" spans="1:3" ht="15.5">
      <c r="A2" s="1" t="s">
        <v>55</v>
      </c>
      <c r="B2" s="1" t="s">
        <v>56</v>
      </c>
      <c r="C2" s="1"/>
    </row>
    <row r="3" spans="1:3" ht="15.5">
      <c r="A3" s="1" t="s">
        <v>3</v>
      </c>
      <c r="B3" s="1"/>
      <c r="C3" s="1"/>
    </row>
    <row r="4" spans="1:3" ht="15.5">
      <c r="A4" s="1" t="s">
        <v>4</v>
      </c>
      <c r="B4" s="1"/>
      <c r="C4" s="1"/>
    </row>
    <row r="5" spans="1:3" ht="15.5">
      <c r="A5" s="1" t="s">
        <v>116</v>
      </c>
      <c r="B5" s="1"/>
      <c r="C5" s="1"/>
    </row>
    <row r="6" spans="1:3" ht="15.5">
      <c r="A6" s="1"/>
      <c r="B6" s="1"/>
      <c r="C6" s="1"/>
    </row>
    <row r="7" spans="1:3" ht="27.5" customHeight="1">
      <c r="A7" s="1" t="s">
        <v>5</v>
      </c>
      <c r="B7" s="1" t="s">
        <v>6</v>
      </c>
      <c r="C7" s="1" t="s">
        <v>7</v>
      </c>
    </row>
    <row r="8" spans="1:3" ht="18" customHeight="1">
      <c r="A8" s="2" t="s">
        <v>8</v>
      </c>
      <c r="B8" s="1"/>
      <c r="C8" s="2">
        <v>226958.17</v>
      </c>
    </row>
    <row r="9" spans="1:3" ht="44.5" customHeight="1">
      <c r="A9" s="3" t="s">
        <v>9</v>
      </c>
      <c r="B9" s="4">
        <f>C9/12</f>
        <v>172196.01166666666</v>
      </c>
      <c r="C9" s="1">
        <v>2066352.14</v>
      </c>
    </row>
    <row r="10" spans="1:3" ht="47.5" customHeight="1">
      <c r="A10" s="3" t="s">
        <v>10</v>
      </c>
      <c r="B10" s="4">
        <f t="shared" ref="B10:B28" si="0">C10/12</f>
        <v>6542.3966666666665</v>
      </c>
      <c r="C10" s="1">
        <v>78508.759999999995</v>
      </c>
    </row>
    <row r="11" spans="1:3" ht="20" customHeight="1">
      <c r="A11" s="2" t="s">
        <v>11</v>
      </c>
      <c r="B11" s="4">
        <f t="shared" si="0"/>
        <v>178738.40833333333</v>
      </c>
      <c r="C11" s="2">
        <f>SUM(C9:C10)</f>
        <v>2144860.9</v>
      </c>
    </row>
    <row r="12" spans="1:3" ht="12.5" customHeight="1">
      <c r="A12" s="2" t="s">
        <v>12</v>
      </c>
      <c r="B12" s="4">
        <f t="shared" si="0"/>
        <v>0</v>
      </c>
      <c r="C12" s="1"/>
    </row>
    <row r="13" spans="1:3" ht="78" customHeight="1">
      <c r="A13" s="3" t="s">
        <v>13</v>
      </c>
      <c r="B13" s="4">
        <f t="shared" si="0"/>
        <v>38433.983333333337</v>
      </c>
      <c r="C13" s="1">
        <f>377657.28+83550.52</f>
        <v>461207.80000000005</v>
      </c>
    </row>
    <row r="14" spans="1:3" ht="77.5">
      <c r="A14" s="3" t="s">
        <v>14</v>
      </c>
      <c r="B14" s="4">
        <f t="shared" si="0"/>
        <v>23931.926666666666</v>
      </c>
      <c r="C14" s="1">
        <f>184142.4+103040.72</f>
        <v>287183.12</v>
      </c>
    </row>
    <row r="15" spans="1:3" ht="62">
      <c r="A15" s="3" t="s">
        <v>15</v>
      </c>
      <c r="B15" s="4">
        <f t="shared" si="0"/>
        <v>5930.05</v>
      </c>
      <c r="C15" s="1">
        <v>71160.600000000006</v>
      </c>
    </row>
    <row r="16" spans="1:3" ht="15.5">
      <c r="A16" s="1" t="s">
        <v>16</v>
      </c>
      <c r="B16" s="4">
        <f t="shared" si="0"/>
        <v>8622.5833333333339</v>
      </c>
      <c r="C16" s="1">
        <v>103471</v>
      </c>
    </row>
    <row r="17" spans="1:3" ht="15.5">
      <c r="A17" s="1" t="s">
        <v>17</v>
      </c>
      <c r="B17" s="4">
        <f t="shared" si="0"/>
        <v>5011.34</v>
      </c>
      <c r="C17" s="1">
        <v>60136.08</v>
      </c>
    </row>
    <row r="18" spans="1:3" ht="15.5">
      <c r="A18" s="1" t="s">
        <v>18</v>
      </c>
      <c r="B18" s="4">
        <f t="shared" si="0"/>
        <v>632.52</v>
      </c>
      <c r="C18" s="1">
        <v>7590.24</v>
      </c>
    </row>
    <row r="19" spans="1:3" ht="15.5">
      <c r="A19" s="1" t="s">
        <v>19</v>
      </c>
      <c r="B19" s="4">
        <f t="shared" si="0"/>
        <v>23949.924166666668</v>
      </c>
      <c r="C19" s="1">
        <v>287399.09000000003</v>
      </c>
    </row>
    <row r="20" spans="1:3" ht="15.5">
      <c r="A20" s="1" t="s">
        <v>20</v>
      </c>
      <c r="B20" s="4">
        <f t="shared" si="0"/>
        <v>1927.7808333333332</v>
      </c>
      <c r="C20" s="1">
        <v>23133.37</v>
      </c>
    </row>
    <row r="21" spans="1:3" ht="15.5">
      <c r="A21" s="1" t="s">
        <v>21</v>
      </c>
      <c r="B21" s="4">
        <f t="shared" si="0"/>
        <v>4076.9658333333332</v>
      </c>
      <c r="C21" s="1">
        <v>48923.59</v>
      </c>
    </row>
    <row r="22" spans="1:3" ht="15.5">
      <c r="A22" s="1" t="s">
        <v>22</v>
      </c>
      <c r="B22" s="4">
        <f t="shared" si="0"/>
        <v>12504.15</v>
      </c>
      <c r="C22" s="1">
        <v>150049.79999999999</v>
      </c>
    </row>
    <row r="23" spans="1:3" ht="15.5">
      <c r="A23" s="1" t="s">
        <v>23</v>
      </c>
      <c r="B23" s="4">
        <f t="shared" si="0"/>
        <v>71.39</v>
      </c>
      <c r="C23" s="1">
        <v>856.68</v>
      </c>
    </row>
    <row r="24" spans="1:3" ht="15.5">
      <c r="A24" s="1" t="s">
        <v>24</v>
      </c>
      <c r="B24" s="4">
        <f t="shared" si="0"/>
        <v>11124.870833333334</v>
      </c>
      <c r="C24" s="1">
        <v>133498.45000000001</v>
      </c>
    </row>
    <row r="25" spans="1:3" ht="15.5">
      <c r="A25" s="1" t="s">
        <v>25</v>
      </c>
      <c r="B25" s="4">
        <f t="shared" si="0"/>
        <v>245.54999999999998</v>
      </c>
      <c r="C25" s="1">
        <v>2946.6</v>
      </c>
    </row>
    <row r="26" spans="1:3" ht="15.5">
      <c r="A26" s="1" t="s">
        <v>26</v>
      </c>
      <c r="B26" s="4">
        <f t="shared" si="0"/>
        <v>2556.6666666666665</v>
      </c>
      <c r="C26" s="1">
        <v>30680</v>
      </c>
    </row>
    <row r="27" spans="1:3" ht="15.5">
      <c r="A27" s="1" t="s">
        <v>27</v>
      </c>
      <c r="B27" s="4">
        <f t="shared" si="0"/>
        <v>32601.060833333333</v>
      </c>
      <c r="C27" s="1">
        <v>391212.73</v>
      </c>
    </row>
    <row r="28" spans="1:3" ht="15.5">
      <c r="A28" s="2" t="s">
        <v>28</v>
      </c>
      <c r="B28" s="4">
        <f t="shared" si="0"/>
        <v>171620.76250000001</v>
      </c>
      <c r="C28" s="2">
        <f>SUM(C13:C27)</f>
        <v>2059449.1500000001</v>
      </c>
    </row>
    <row r="29" spans="1:3" ht="15.5">
      <c r="A29" s="2" t="s">
        <v>29</v>
      </c>
      <c r="B29" s="1"/>
      <c r="C29" s="2">
        <v>362369.91</v>
      </c>
    </row>
    <row r="30" spans="1:3" ht="15.5">
      <c r="A30" s="2" t="s">
        <v>30</v>
      </c>
      <c r="B30" s="1"/>
      <c r="C30" s="2"/>
    </row>
    <row r="31" spans="1:3" ht="31">
      <c r="A31" s="3" t="s">
        <v>31</v>
      </c>
      <c r="B31" s="1"/>
      <c r="C31" s="1">
        <v>210944.91</v>
      </c>
    </row>
    <row r="32" spans="1:3" ht="62" hidden="1">
      <c r="A32" s="3" t="s">
        <v>32</v>
      </c>
      <c r="B32" s="1"/>
      <c r="C32" s="1"/>
    </row>
    <row r="33" spans="1:3" ht="15.5">
      <c r="A33" s="2" t="s">
        <v>33</v>
      </c>
      <c r="B33" s="2"/>
      <c r="C33" s="2">
        <v>151425</v>
      </c>
    </row>
    <row r="34" spans="1:3" ht="15.5">
      <c r="A34" s="1" t="s">
        <v>34</v>
      </c>
      <c r="B34" s="1"/>
      <c r="C34" s="1"/>
    </row>
    <row r="35" spans="1:3" ht="15.5">
      <c r="A35" s="1" t="s">
        <v>35</v>
      </c>
      <c r="B35" s="1"/>
      <c r="C35" s="1"/>
    </row>
    <row r="36" spans="1:3" ht="15.5">
      <c r="A36" s="1" t="s">
        <v>111</v>
      </c>
      <c r="B36" s="1"/>
      <c r="C36" s="1"/>
    </row>
    <row r="37" spans="1:3" ht="15.5">
      <c r="A37" s="1" t="s">
        <v>36</v>
      </c>
      <c r="B37" s="1"/>
      <c r="C37" s="1"/>
    </row>
  </sheetData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37"/>
  <sheetViews>
    <sheetView topLeftCell="A20" workbookViewId="0">
      <selection activeCell="C34" sqref="C34"/>
    </sheetView>
  </sheetViews>
  <sheetFormatPr defaultRowHeight="14.5"/>
  <cols>
    <col min="1" max="1" width="42.08984375" customWidth="1"/>
    <col min="2" max="2" width="14.7265625" customWidth="1"/>
    <col min="3" max="3" width="12.81640625" customWidth="1"/>
  </cols>
  <sheetData>
    <row r="1" spans="1:3" ht="15.5">
      <c r="A1" s="1" t="s">
        <v>0</v>
      </c>
      <c r="B1" s="1"/>
      <c r="C1" s="1"/>
    </row>
    <row r="2" spans="1:3" ht="15.5">
      <c r="A2" s="1" t="s">
        <v>57</v>
      </c>
      <c r="B2" s="1" t="s">
        <v>56</v>
      </c>
      <c r="C2" s="1"/>
    </row>
    <row r="3" spans="1:3" ht="15.5">
      <c r="A3" s="1" t="s">
        <v>3</v>
      </c>
      <c r="B3" s="1"/>
      <c r="C3" s="1"/>
    </row>
    <row r="4" spans="1:3" ht="15.5">
      <c r="A4" s="1" t="s">
        <v>4</v>
      </c>
      <c r="B4" s="1"/>
      <c r="C4" s="1"/>
    </row>
    <row r="5" spans="1:3" ht="15.5">
      <c r="A5" s="1" t="s">
        <v>116</v>
      </c>
      <c r="B5" s="1"/>
      <c r="C5" s="1"/>
    </row>
    <row r="6" spans="1:3" ht="15.5">
      <c r="A6" s="1"/>
      <c r="B6" s="1"/>
      <c r="C6" s="1"/>
    </row>
    <row r="7" spans="1:3" ht="15.5">
      <c r="A7" s="1" t="s">
        <v>5</v>
      </c>
      <c r="B7" s="1" t="s">
        <v>6</v>
      </c>
      <c r="C7" s="1" t="s">
        <v>7</v>
      </c>
    </row>
    <row r="8" spans="1:3" ht="18" customHeight="1">
      <c r="A8" s="2" t="s">
        <v>8</v>
      </c>
      <c r="B8" s="1"/>
      <c r="C8" s="2">
        <v>-4415.5200000000004</v>
      </c>
    </row>
    <row r="9" spans="1:3" ht="47" customHeight="1">
      <c r="A9" s="3" t="s">
        <v>9</v>
      </c>
      <c r="B9" s="4">
        <f>C9/12</f>
        <v>129562.23</v>
      </c>
      <c r="C9" s="1">
        <v>1554746.76</v>
      </c>
    </row>
    <row r="10" spans="1:3" ht="44" customHeight="1">
      <c r="A10" s="3" t="s">
        <v>10</v>
      </c>
      <c r="B10" s="4">
        <f t="shared" ref="B10:B28" si="0">C10/12</f>
        <v>5190.9391666666661</v>
      </c>
      <c r="C10" s="1">
        <f>6012.82+56278.45</f>
        <v>62291.27</v>
      </c>
    </row>
    <row r="11" spans="1:3" ht="15" customHeight="1">
      <c r="A11" s="2" t="s">
        <v>11</v>
      </c>
      <c r="B11" s="4">
        <f t="shared" si="0"/>
        <v>134753.16916666666</v>
      </c>
      <c r="C11" s="2">
        <f>SUM(C9:C10)</f>
        <v>1617038.03</v>
      </c>
    </row>
    <row r="12" spans="1:3" ht="15.5" customHeight="1">
      <c r="A12" s="2" t="s">
        <v>12</v>
      </c>
      <c r="B12" s="4">
        <f t="shared" si="0"/>
        <v>0</v>
      </c>
      <c r="C12" s="1"/>
    </row>
    <row r="13" spans="1:3" ht="78" customHeight="1">
      <c r="A13" s="3" t="s">
        <v>13</v>
      </c>
      <c r="B13" s="4">
        <f t="shared" si="0"/>
        <v>26726.848333333332</v>
      </c>
      <c r="C13" s="1">
        <f>262621.5+58100.68</f>
        <v>320722.18</v>
      </c>
    </row>
    <row r="14" spans="1:3" ht="77.5">
      <c r="A14" s="3" t="s">
        <v>14</v>
      </c>
      <c r="B14" s="4">
        <f t="shared" si="0"/>
        <v>18928.363333333335</v>
      </c>
      <c r="C14" s="1">
        <f>90690.16+136450.2</f>
        <v>227140.36000000002</v>
      </c>
    </row>
    <row r="15" spans="1:3" ht="62">
      <c r="A15" s="3" t="s">
        <v>15</v>
      </c>
      <c r="B15" s="4">
        <f t="shared" si="0"/>
        <v>10674.09</v>
      </c>
      <c r="C15" s="1">
        <v>128089.08</v>
      </c>
    </row>
    <row r="16" spans="1:3" ht="15.5">
      <c r="A16" s="1" t="s">
        <v>16</v>
      </c>
      <c r="B16" s="4">
        <f t="shared" si="0"/>
        <v>7200.833333333333</v>
      </c>
      <c r="C16" s="1">
        <v>86410</v>
      </c>
    </row>
    <row r="17" spans="1:3" ht="15.5">
      <c r="A17" s="1" t="s">
        <v>17</v>
      </c>
      <c r="B17" s="4">
        <f t="shared" si="0"/>
        <v>3645.2999999999997</v>
      </c>
      <c r="C17" s="1">
        <v>43743.6</v>
      </c>
    </row>
    <row r="18" spans="1:3" ht="15.5">
      <c r="A18" s="1" t="s">
        <v>18</v>
      </c>
      <c r="B18" s="4">
        <f t="shared" si="0"/>
        <v>686.48666666666668</v>
      </c>
      <c r="C18" s="1">
        <v>8237.84</v>
      </c>
    </row>
    <row r="19" spans="1:3" ht="15.5">
      <c r="A19" s="1" t="s">
        <v>19</v>
      </c>
      <c r="B19" s="4">
        <f t="shared" si="0"/>
        <v>16683.48</v>
      </c>
      <c r="C19" s="1">
        <v>200201.76</v>
      </c>
    </row>
    <row r="20" spans="1:3" ht="15.5">
      <c r="A20" s="1" t="s">
        <v>20</v>
      </c>
      <c r="B20" s="4">
        <f t="shared" si="0"/>
        <v>1481.1000000000001</v>
      </c>
      <c r="C20" s="1">
        <v>17773.2</v>
      </c>
    </row>
    <row r="21" spans="1:3" ht="15.5">
      <c r="A21" s="1" t="s">
        <v>21</v>
      </c>
      <c r="B21" s="4">
        <f t="shared" si="0"/>
        <v>2951.6841666666664</v>
      </c>
      <c r="C21" s="1">
        <v>35420.21</v>
      </c>
    </row>
    <row r="22" spans="1:3" ht="15.5">
      <c r="A22" s="1" t="s">
        <v>22</v>
      </c>
      <c r="B22" s="4">
        <f t="shared" si="0"/>
        <v>9105.9083333333328</v>
      </c>
      <c r="C22" s="1">
        <v>109270.9</v>
      </c>
    </row>
    <row r="23" spans="1:3" ht="15.5">
      <c r="A23" s="1" t="s">
        <v>23</v>
      </c>
      <c r="B23" s="4">
        <f t="shared" si="0"/>
        <v>0</v>
      </c>
      <c r="C23" s="1"/>
    </row>
    <row r="24" spans="1:3" ht="15.5">
      <c r="A24" s="1" t="s">
        <v>24</v>
      </c>
      <c r="B24" s="4">
        <f t="shared" si="0"/>
        <v>8013.4266666666663</v>
      </c>
      <c r="C24" s="1">
        <v>96161.12</v>
      </c>
    </row>
    <row r="25" spans="1:3" ht="15.5">
      <c r="A25" s="1" t="s">
        <v>25</v>
      </c>
      <c r="B25" s="4">
        <f t="shared" si="0"/>
        <v>181.01</v>
      </c>
      <c r="C25" s="1">
        <v>2172.12</v>
      </c>
    </row>
    <row r="26" spans="1:3" ht="15.5">
      <c r="A26" s="1" t="s">
        <v>26</v>
      </c>
      <c r="B26" s="4">
        <f t="shared" si="0"/>
        <v>0</v>
      </c>
      <c r="C26" s="1"/>
    </row>
    <row r="27" spans="1:3" ht="15.5">
      <c r="A27" s="1" t="s">
        <v>27</v>
      </c>
      <c r="B27" s="4">
        <f t="shared" si="0"/>
        <v>20706.804166666665</v>
      </c>
      <c r="C27" s="1">
        <v>248481.65</v>
      </c>
    </row>
    <row r="28" spans="1:3" ht="15.5">
      <c r="A28" s="2" t="s">
        <v>28</v>
      </c>
      <c r="B28" s="4">
        <f t="shared" si="0"/>
        <v>126985.33500000001</v>
      </c>
      <c r="C28" s="2">
        <f>SUM(C13:C27)</f>
        <v>1523824.02</v>
      </c>
    </row>
    <row r="29" spans="1:3" ht="26.5" customHeight="1">
      <c r="A29" s="2" t="s">
        <v>29</v>
      </c>
      <c r="B29" s="1"/>
      <c r="C29" s="2">
        <v>88798.49</v>
      </c>
    </row>
    <row r="30" spans="1:3" ht="28.5" customHeight="1">
      <c r="A30" s="2" t="s">
        <v>30</v>
      </c>
      <c r="B30" s="1"/>
      <c r="C30" s="2"/>
    </row>
    <row r="31" spans="1:3" ht="42.5" customHeight="1">
      <c r="A31" s="3" t="s">
        <v>31</v>
      </c>
      <c r="B31" s="1"/>
      <c r="C31" s="1">
        <v>210944.91</v>
      </c>
    </row>
    <row r="32" spans="1:3" ht="62" hidden="1">
      <c r="A32" s="3" t="s">
        <v>32</v>
      </c>
      <c r="B32" s="1"/>
      <c r="C32" s="1"/>
    </row>
    <row r="33" spans="1:3" ht="32" customHeight="1">
      <c r="A33" s="2" t="s">
        <v>33</v>
      </c>
      <c r="B33" s="2"/>
      <c r="C33" s="2">
        <v>-122146.42</v>
      </c>
    </row>
    <row r="34" spans="1:3" ht="30.5" customHeight="1">
      <c r="A34" s="1" t="s">
        <v>34</v>
      </c>
      <c r="B34" s="1"/>
      <c r="C34" s="1"/>
    </row>
    <row r="35" spans="1:3" ht="33" customHeight="1">
      <c r="A35" s="1" t="s">
        <v>35</v>
      </c>
      <c r="B35" s="1"/>
      <c r="C35" s="1"/>
    </row>
    <row r="36" spans="1:3" ht="15.5">
      <c r="A36" s="1" t="s">
        <v>111</v>
      </c>
      <c r="B36" s="1"/>
      <c r="C36" s="1"/>
    </row>
    <row r="37" spans="1:3" ht="28.5" customHeight="1">
      <c r="A37" s="1" t="s">
        <v>36</v>
      </c>
      <c r="B37" s="1"/>
      <c r="C37" s="1"/>
    </row>
  </sheetData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7"/>
  <sheetViews>
    <sheetView topLeftCell="A20" workbookViewId="0">
      <selection activeCell="C34" sqref="C34"/>
    </sheetView>
  </sheetViews>
  <sheetFormatPr defaultRowHeight="14.5"/>
  <cols>
    <col min="1" max="1" width="45.26953125" customWidth="1"/>
    <col min="2" max="2" width="14.7265625" customWidth="1"/>
    <col min="3" max="3" width="15.36328125" customWidth="1"/>
  </cols>
  <sheetData>
    <row r="1" spans="1:3" ht="15.5">
      <c r="A1" s="1" t="s">
        <v>0</v>
      </c>
      <c r="B1" s="1"/>
      <c r="C1" s="1"/>
    </row>
    <row r="2" spans="1:3" ht="15.5">
      <c r="A2" s="1" t="s">
        <v>58</v>
      </c>
      <c r="B2" s="1" t="s">
        <v>59</v>
      </c>
      <c r="C2" s="1"/>
    </row>
    <row r="3" spans="1:3" ht="15.5">
      <c r="A3" s="1" t="s">
        <v>3</v>
      </c>
      <c r="B3" s="1"/>
      <c r="C3" s="1"/>
    </row>
    <row r="4" spans="1:3" ht="15.5">
      <c r="A4" s="1" t="s">
        <v>4</v>
      </c>
      <c r="B4" s="1"/>
      <c r="C4" s="1"/>
    </row>
    <row r="5" spans="1:3" ht="15.5">
      <c r="A5" s="1" t="s">
        <v>116</v>
      </c>
      <c r="B5" s="1"/>
      <c r="C5" s="1"/>
    </row>
    <row r="6" spans="1:3" ht="8.5" customHeight="1">
      <c r="A6" s="1"/>
      <c r="B6" s="1"/>
      <c r="C6" s="1"/>
    </row>
    <row r="7" spans="1:3" ht="13" customHeight="1">
      <c r="A7" s="1" t="s">
        <v>5</v>
      </c>
      <c r="B7" s="1" t="s">
        <v>6</v>
      </c>
      <c r="C7" s="1" t="s">
        <v>7</v>
      </c>
    </row>
    <row r="8" spans="1:3" ht="16.5" customHeight="1">
      <c r="A8" s="2" t="s">
        <v>8</v>
      </c>
      <c r="B8" s="1"/>
      <c r="C8" s="2">
        <v>-125457.1</v>
      </c>
    </row>
    <row r="9" spans="1:3" ht="49" customHeight="1">
      <c r="A9" s="3" t="s">
        <v>9</v>
      </c>
      <c r="B9" s="4">
        <f>C9/12</f>
        <v>53409.22583333333</v>
      </c>
      <c r="C9" s="1">
        <v>640910.71</v>
      </c>
    </row>
    <row r="10" spans="1:3" ht="47" customHeight="1">
      <c r="A10" s="3" t="s">
        <v>10</v>
      </c>
      <c r="B10" s="4">
        <f t="shared" ref="B10:B28" si="0">C10/12</f>
        <v>14630.672499999999</v>
      </c>
      <c r="C10" s="1">
        <f>144539.27+31028.8</f>
        <v>175568.06999999998</v>
      </c>
    </row>
    <row r="11" spans="1:3" ht="18" customHeight="1">
      <c r="A11" s="2" t="s">
        <v>11</v>
      </c>
      <c r="B11" s="4">
        <f t="shared" si="0"/>
        <v>68039.898333333331</v>
      </c>
      <c r="C11" s="2">
        <f>SUM(C9:C10)</f>
        <v>816478.77999999991</v>
      </c>
    </row>
    <row r="12" spans="1:3" ht="15" customHeight="1">
      <c r="A12" s="2" t="s">
        <v>12</v>
      </c>
      <c r="B12" s="4">
        <f t="shared" si="0"/>
        <v>0</v>
      </c>
      <c r="C12" s="1"/>
    </row>
    <row r="13" spans="1:3" ht="76" customHeight="1">
      <c r="A13" s="3" t="s">
        <v>13</v>
      </c>
      <c r="B13" s="4">
        <f t="shared" si="0"/>
        <v>16921.201666666664</v>
      </c>
      <c r="C13" s="1">
        <f>166269.9+36784.52</f>
        <v>203054.41999999998</v>
      </c>
    </row>
    <row r="14" spans="1:3" ht="81" customHeight="1">
      <c r="A14" s="3" t="s">
        <v>14</v>
      </c>
      <c r="B14" s="4">
        <f t="shared" si="0"/>
        <v>16934.831666666669</v>
      </c>
      <c r="C14" s="1">
        <f>50556.56+152661.42</f>
        <v>203217.98</v>
      </c>
    </row>
    <row r="15" spans="1:3" ht="48.5" customHeight="1">
      <c r="A15" s="3" t="s">
        <v>15</v>
      </c>
      <c r="B15" s="4">
        <f t="shared" si="0"/>
        <v>0</v>
      </c>
      <c r="C15" s="1"/>
    </row>
    <row r="16" spans="1:3" ht="15.5">
      <c r="A16" s="1" t="s">
        <v>16</v>
      </c>
      <c r="B16" s="4">
        <f t="shared" si="0"/>
        <v>2236.1666666666665</v>
      </c>
      <c r="C16" s="1">
        <v>26834</v>
      </c>
    </row>
    <row r="17" spans="1:3" ht="15.5">
      <c r="A17" s="1" t="s">
        <v>17</v>
      </c>
      <c r="B17" s="4">
        <f t="shared" si="0"/>
        <v>2341.04</v>
      </c>
      <c r="C17" s="1">
        <v>28092.48</v>
      </c>
    </row>
    <row r="18" spans="1:3" ht="15.5">
      <c r="A18" s="1" t="s">
        <v>18</v>
      </c>
      <c r="B18" s="4">
        <f t="shared" si="0"/>
        <v>228.38</v>
      </c>
      <c r="C18" s="1">
        <v>2740.56</v>
      </c>
    </row>
    <row r="19" spans="1:3" ht="15.5">
      <c r="A19" s="1" t="s">
        <v>19</v>
      </c>
      <c r="B19" s="4">
        <f t="shared" si="0"/>
        <v>0</v>
      </c>
      <c r="C19" s="1"/>
    </row>
    <row r="20" spans="1:3" ht="15.5">
      <c r="A20" s="1" t="s">
        <v>20</v>
      </c>
      <c r="B20" s="4">
        <f t="shared" si="0"/>
        <v>940.38083333333327</v>
      </c>
      <c r="C20" s="1">
        <v>11284.57</v>
      </c>
    </row>
    <row r="21" spans="1:3" ht="15.5">
      <c r="A21" s="1" t="s">
        <v>21</v>
      </c>
      <c r="B21" s="4">
        <f t="shared" si="0"/>
        <v>1475.0108333333335</v>
      </c>
      <c r="C21" s="1">
        <v>17700.13</v>
      </c>
    </row>
    <row r="22" spans="1:3" ht="15.5">
      <c r="A22" s="1" t="s">
        <v>22</v>
      </c>
      <c r="B22" s="4">
        <f t="shared" si="0"/>
        <v>5840.4933333333329</v>
      </c>
      <c r="C22" s="1">
        <v>70085.919999999998</v>
      </c>
    </row>
    <row r="23" spans="1:3" ht="15.5">
      <c r="A23" s="1" t="s">
        <v>23</v>
      </c>
      <c r="B23" s="4">
        <f t="shared" si="0"/>
        <v>332.07083333333333</v>
      </c>
      <c r="C23" s="1">
        <v>3984.85</v>
      </c>
    </row>
    <row r="24" spans="1:3" ht="15.5">
      <c r="A24" s="1" t="s">
        <v>24</v>
      </c>
      <c r="B24" s="4">
        <f t="shared" si="0"/>
        <v>4046.2291666666665</v>
      </c>
      <c r="C24" s="1">
        <v>48554.75</v>
      </c>
    </row>
    <row r="25" spans="1:3" ht="15.5">
      <c r="A25" s="1" t="s">
        <v>25</v>
      </c>
      <c r="B25" s="4">
        <f t="shared" si="0"/>
        <v>224.27666666666667</v>
      </c>
      <c r="C25" s="1">
        <v>2691.32</v>
      </c>
    </row>
    <row r="26" spans="1:3" ht="15.5">
      <c r="A26" s="1" t="s">
        <v>26</v>
      </c>
      <c r="B26" s="4">
        <f t="shared" si="0"/>
        <v>0</v>
      </c>
      <c r="C26" s="1"/>
    </row>
    <row r="27" spans="1:3" ht="15.5">
      <c r="A27" s="1" t="s">
        <v>27</v>
      </c>
      <c r="B27" s="4">
        <f t="shared" si="0"/>
        <v>13281.261666666667</v>
      </c>
      <c r="C27" s="1">
        <v>159375.14000000001</v>
      </c>
    </row>
    <row r="28" spans="1:3" ht="15.5">
      <c r="A28" s="2" t="s">
        <v>28</v>
      </c>
      <c r="B28" s="4">
        <f t="shared" si="0"/>
        <v>64801.343333333331</v>
      </c>
      <c r="C28" s="2">
        <f>SUM(C13:C27)</f>
        <v>777616.12</v>
      </c>
    </row>
    <row r="29" spans="1:3" ht="22.5" customHeight="1">
      <c r="A29" s="2" t="s">
        <v>29</v>
      </c>
      <c r="B29" s="1"/>
      <c r="C29" s="2"/>
    </row>
    <row r="30" spans="1:3" ht="26.5" customHeight="1">
      <c r="A30" s="2" t="s">
        <v>30</v>
      </c>
      <c r="B30" s="1"/>
      <c r="C30" s="2">
        <v>86594.44</v>
      </c>
    </row>
    <row r="31" spans="1:3" ht="35.5" customHeight="1">
      <c r="A31" s="3" t="s">
        <v>31</v>
      </c>
      <c r="B31" s="1"/>
      <c r="C31" s="1">
        <v>54806.52</v>
      </c>
    </row>
    <row r="32" spans="1:3" ht="2" customHeight="1">
      <c r="A32" s="3" t="s">
        <v>32</v>
      </c>
      <c r="B32" s="1"/>
      <c r="C32" s="1"/>
    </row>
    <row r="33" spans="1:3" ht="27.5" customHeight="1">
      <c r="A33" s="2" t="s">
        <v>33</v>
      </c>
      <c r="B33" s="2"/>
      <c r="C33" s="2">
        <v>-141400.95999999999</v>
      </c>
    </row>
    <row r="34" spans="1:3" ht="46.5" customHeight="1">
      <c r="A34" s="1" t="s">
        <v>34</v>
      </c>
      <c r="B34" s="1"/>
      <c r="C34" s="1"/>
    </row>
    <row r="35" spans="1:3" ht="27.5" customHeight="1">
      <c r="A35" s="1" t="s">
        <v>35</v>
      </c>
      <c r="B35" s="1"/>
      <c r="C35" s="1"/>
    </row>
    <row r="36" spans="1:3" ht="24" customHeight="1">
      <c r="A36" s="1" t="s">
        <v>115</v>
      </c>
      <c r="B36" s="1"/>
      <c r="C36" s="1"/>
    </row>
    <row r="37" spans="1:3" ht="29.5" customHeight="1">
      <c r="A37" s="1" t="s">
        <v>36</v>
      </c>
      <c r="B37" s="1"/>
      <c r="C37" s="1"/>
    </row>
  </sheetData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37"/>
  <sheetViews>
    <sheetView topLeftCell="A20" workbookViewId="0">
      <selection activeCell="C34" sqref="C34"/>
    </sheetView>
  </sheetViews>
  <sheetFormatPr defaultRowHeight="14.5"/>
  <cols>
    <col min="1" max="1" width="44.54296875" customWidth="1"/>
    <col min="2" max="2" width="14.90625" customWidth="1"/>
    <col min="3" max="3" width="14" customWidth="1"/>
  </cols>
  <sheetData>
    <row r="1" spans="1:3" ht="15.5">
      <c r="A1" s="1" t="s">
        <v>0</v>
      </c>
      <c r="B1" s="1"/>
      <c r="C1" s="1"/>
    </row>
    <row r="2" spans="1:3" ht="15.5">
      <c r="A2" s="1" t="s">
        <v>60</v>
      </c>
      <c r="B2" s="1" t="s">
        <v>59</v>
      </c>
      <c r="C2" s="1"/>
    </row>
    <row r="3" spans="1:3" ht="15.5">
      <c r="A3" s="1" t="s">
        <v>3</v>
      </c>
      <c r="B3" s="1"/>
      <c r="C3" s="1"/>
    </row>
    <row r="4" spans="1:3" ht="15.5">
      <c r="A4" s="1" t="s">
        <v>4</v>
      </c>
      <c r="B4" s="1"/>
      <c r="C4" s="1"/>
    </row>
    <row r="5" spans="1:3" ht="15.5">
      <c r="A5" s="1" t="s">
        <v>116</v>
      </c>
      <c r="B5" s="1"/>
      <c r="C5" s="1"/>
    </row>
    <row r="6" spans="1:3" ht="7" customHeight="1">
      <c r="A6" s="1"/>
      <c r="B6" s="1"/>
      <c r="C6" s="1"/>
    </row>
    <row r="7" spans="1:3" ht="15.5">
      <c r="A7" s="1" t="s">
        <v>5</v>
      </c>
      <c r="B7" s="1" t="s">
        <v>6</v>
      </c>
      <c r="C7" s="1" t="s">
        <v>7</v>
      </c>
    </row>
    <row r="8" spans="1:3" ht="15.5">
      <c r="A8" s="2" t="s">
        <v>8</v>
      </c>
      <c r="B8" s="1"/>
      <c r="C8" s="2">
        <v>-139771.46</v>
      </c>
    </row>
    <row r="9" spans="1:3" ht="48.5" customHeight="1">
      <c r="A9" s="3" t="s">
        <v>9</v>
      </c>
      <c r="B9" s="4">
        <f>C9/12</f>
        <v>72259.05333333333</v>
      </c>
      <c r="C9" s="1">
        <v>867108.64</v>
      </c>
    </row>
    <row r="10" spans="1:3" ht="44.5" customHeight="1">
      <c r="A10" s="3" t="s">
        <v>10</v>
      </c>
      <c r="B10" s="4">
        <f t="shared" ref="B10:B28" si="0">C10/12</f>
        <v>14697.640833333333</v>
      </c>
      <c r="C10" s="1">
        <f>113071.49+63300.2</f>
        <v>176371.69</v>
      </c>
    </row>
    <row r="11" spans="1:3" ht="22.5" customHeight="1">
      <c r="A11" s="2" t="s">
        <v>11</v>
      </c>
      <c r="B11" s="4">
        <f t="shared" si="0"/>
        <v>86956.694166666668</v>
      </c>
      <c r="C11" s="2">
        <f>SUM(C9:C10)</f>
        <v>1043480.3300000001</v>
      </c>
    </row>
    <row r="12" spans="1:3" ht="17" customHeight="1">
      <c r="A12" s="2" t="s">
        <v>12</v>
      </c>
      <c r="B12" s="4">
        <f t="shared" si="0"/>
        <v>0</v>
      </c>
      <c r="C12" s="1"/>
    </row>
    <row r="13" spans="1:3" ht="78" customHeight="1">
      <c r="A13" s="3" t="s">
        <v>13</v>
      </c>
      <c r="B13" s="4">
        <f t="shared" si="0"/>
        <v>19108.548333333336</v>
      </c>
      <c r="C13" s="1">
        <f>187763.1+41539.48</f>
        <v>229302.58000000002</v>
      </c>
    </row>
    <row r="14" spans="1:3" ht="77.5">
      <c r="A14" s="3" t="s">
        <v>14</v>
      </c>
      <c r="B14" s="4">
        <f t="shared" si="0"/>
        <v>18713.846666666665</v>
      </c>
      <c r="C14" s="1">
        <f>125358.48+99207.68</f>
        <v>224566.15999999997</v>
      </c>
    </row>
    <row r="15" spans="1:3" ht="62">
      <c r="A15" s="3" t="s">
        <v>15</v>
      </c>
      <c r="B15" s="4">
        <f t="shared" si="0"/>
        <v>6607.77</v>
      </c>
      <c r="C15" s="1">
        <v>79293.240000000005</v>
      </c>
    </row>
    <row r="16" spans="1:3" ht="15.5">
      <c r="A16" s="1" t="s">
        <v>16</v>
      </c>
      <c r="B16" s="4">
        <f t="shared" si="0"/>
        <v>6265.666666666667</v>
      </c>
      <c r="C16" s="1">
        <v>75188</v>
      </c>
    </row>
    <row r="17" spans="1:3" ht="15.5">
      <c r="A17" s="1" t="s">
        <v>17</v>
      </c>
      <c r="B17" s="4">
        <f t="shared" si="0"/>
        <v>2343.12</v>
      </c>
      <c r="C17" s="1">
        <v>28117.439999999999</v>
      </c>
    </row>
    <row r="18" spans="1:3" ht="15.5">
      <c r="A18" s="1" t="s">
        <v>18</v>
      </c>
      <c r="B18" s="4">
        <f t="shared" si="0"/>
        <v>99.48</v>
      </c>
      <c r="C18" s="1">
        <v>1193.76</v>
      </c>
    </row>
    <row r="19" spans="1:3" ht="15.5">
      <c r="A19" s="1" t="s">
        <v>19</v>
      </c>
      <c r="B19" s="4">
        <f t="shared" si="0"/>
        <v>10804.5</v>
      </c>
      <c r="C19" s="1">
        <v>129654</v>
      </c>
    </row>
    <row r="20" spans="1:3" ht="15.5">
      <c r="A20" s="1" t="s">
        <v>20</v>
      </c>
      <c r="B20" s="4">
        <f t="shared" si="0"/>
        <v>916.87166666666656</v>
      </c>
      <c r="C20" s="1">
        <v>11002.46</v>
      </c>
    </row>
    <row r="21" spans="1:3" ht="15.5">
      <c r="A21" s="1" t="s">
        <v>21</v>
      </c>
      <c r="B21" s="4">
        <f t="shared" si="0"/>
        <v>1895.92</v>
      </c>
      <c r="C21" s="1">
        <v>22751.040000000001</v>
      </c>
    </row>
    <row r="22" spans="1:3" ht="15.5">
      <c r="A22" s="1" t="s">
        <v>22</v>
      </c>
      <c r="B22" s="4">
        <f t="shared" si="0"/>
        <v>5845.2924999999996</v>
      </c>
      <c r="C22" s="1">
        <v>70143.509999999995</v>
      </c>
    </row>
    <row r="23" spans="1:3" ht="15.5">
      <c r="A23" s="1" t="s">
        <v>23</v>
      </c>
      <c r="B23" s="4">
        <f t="shared" si="0"/>
        <v>0</v>
      </c>
      <c r="C23" s="1"/>
    </row>
    <row r="24" spans="1:3" ht="15.5">
      <c r="A24" s="1" t="s">
        <v>24</v>
      </c>
      <c r="B24" s="4">
        <f t="shared" si="0"/>
        <v>5171.1816666666664</v>
      </c>
      <c r="C24" s="1">
        <v>62054.18</v>
      </c>
    </row>
    <row r="25" spans="1:3" ht="15.5">
      <c r="A25" s="1" t="s">
        <v>25</v>
      </c>
      <c r="B25" s="4">
        <f t="shared" si="0"/>
        <v>107.14833333333333</v>
      </c>
      <c r="C25" s="1">
        <v>1285.78</v>
      </c>
    </row>
    <row r="26" spans="1:3" ht="15.5">
      <c r="A26" s="1" t="s">
        <v>26</v>
      </c>
      <c r="B26" s="4">
        <f t="shared" si="0"/>
        <v>0</v>
      </c>
      <c r="C26" s="1"/>
    </row>
    <row r="27" spans="1:3" ht="15.5">
      <c r="A27" s="1" t="s">
        <v>27</v>
      </c>
      <c r="B27" s="4">
        <f t="shared" si="0"/>
        <v>13292.175000000001</v>
      </c>
      <c r="C27" s="1">
        <v>159506.1</v>
      </c>
    </row>
    <row r="28" spans="1:3" ht="15.5">
      <c r="A28" s="2" t="s">
        <v>28</v>
      </c>
      <c r="B28" s="4">
        <f t="shared" si="0"/>
        <v>91171.520833333328</v>
      </c>
      <c r="C28" s="2">
        <f>SUM(C13:C27)</f>
        <v>1094058.25</v>
      </c>
    </row>
    <row r="29" spans="1:3" ht="25.5" customHeight="1">
      <c r="A29" s="2" t="s">
        <v>29</v>
      </c>
      <c r="B29" s="1"/>
      <c r="C29" s="2"/>
    </row>
    <row r="30" spans="1:3" ht="31.5" customHeight="1">
      <c r="A30" s="2" t="s">
        <v>30</v>
      </c>
      <c r="B30" s="1"/>
      <c r="C30" s="2">
        <v>190349.38</v>
      </c>
    </row>
    <row r="31" spans="1:3" ht="38" customHeight="1">
      <c r="A31" s="3" t="s">
        <v>31</v>
      </c>
      <c r="B31" s="1"/>
      <c r="C31" s="1">
        <v>13442.5</v>
      </c>
    </row>
    <row r="32" spans="1:3" ht="62" hidden="1">
      <c r="A32" s="3" t="s">
        <v>32</v>
      </c>
      <c r="B32" s="1"/>
      <c r="C32" s="1"/>
    </row>
    <row r="33" spans="1:3" ht="30" customHeight="1">
      <c r="A33" s="2" t="s">
        <v>33</v>
      </c>
      <c r="B33" s="2"/>
      <c r="C33" s="2">
        <v>-203791.88</v>
      </c>
    </row>
    <row r="34" spans="1:3" ht="29" customHeight="1">
      <c r="A34" s="1" t="s">
        <v>34</v>
      </c>
      <c r="B34" s="1"/>
      <c r="C34" s="1"/>
    </row>
    <row r="35" spans="1:3" ht="29" customHeight="1">
      <c r="A35" s="1" t="s">
        <v>35</v>
      </c>
      <c r="B35" s="1"/>
      <c r="C35" s="1"/>
    </row>
    <row r="36" spans="1:3" ht="29" customHeight="1">
      <c r="A36" s="1" t="s">
        <v>111</v>
      </c>
      <c r="B36" s="1"/>
      <c r="C36" s="1"/>
    </row>
    <row r="37" spans="1:3" ht="29" customHeight="1">
      <c r="A37" s="1" t="s">
        <v>36</v>
      </c>
      <c r="B37" s="1"/>
      <c r="C37" s="1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"/>
  <sheetViews>
    <sheetView topLeftCell="A19" workbookViewId="0">
      <selection activeCell="C35" sqref="C35"/>
    </sheetView>
  </sheetViews>
  <sheetFormatPr defaultRowHeight="14.5"/>
  <cols>
    <col min="1" max="1" width="44.90625" customWidth="1"/>
    <col min="2" max="2" width="17.6328125" customWidth="1"/>
    <col min="3" max="3" width="17.26953125" customWidth="1"/>
  </cols>
  <sheetData>
    <row r="1" spans="1:3" ht="13" customHeight="1"/>
    <row r="2" spans="1:3" ht="16" customHeight="1">
      <c r="A2" s="1" t="s">
        <v>0</v>
      </c>
      <c r="B2" s="1"/>
      <c r="C2" s="1"/>
    </row>
    <row r="3" spans="1:3" ht="18" customHeight="1">
      <c r="A3" s="1" t="s">
        <v>39</v>
      </c>
      <c r="B3" s="1" t="s">
        <v>2</v>
      </c>
      <c r="C3" s="1"/>
    </row>
    <row r="4" spans="1:3" ht="15.5" customHeight="1">
      <c r="A4" s="1" t="s">
        <v>3</v>
      </c>
      <c r="B4" s="1"/>
      <c r="C4" s="1"/>
    </row>
    <row r="5" spans="1:3" ht="16.5" customHeight="1">
      <c r="A5" s="1" t="s">
        <v>4</v>
      </c>
      <c r="B5" s="1"/>
      <c r="C5" s="1"/>
    </row>
    <row r="6" spans="1:3" ht="14.5" customHeight="1">
      <c r="A6" s="1" t="s">
        <v>116</v>
      </c>
      <c r="B6" s="1"/>
      <c r="C6" s="1"/>
    </row>
    <row r="7" spans="1:3" ht="5.5" customHeight="1">
      <c r="A7" s="1"/>
      <c r="B7" s="1"/>
      <c r="C7" s="1"/>
    </row>
    <row r="8" spans="1:3" ht="22" customHeight="1">
      <c r="A8" s="1" t="s">
        <v>5</v>
      </c>
      <c r="B8" s="1" t="s">
        <v>6</v>
      </c>
      <c r="C8" s="1" t="s">
        <v>7</v>
      </c>
    </row>
    <row r="9" spans="1:3" ht="17.5" customHeight="1">
      <c r="A9" s="2" t="s">
        <v>8</v>
      </c>
      <c r="B9" s="1"/>
      <c r="C9" s="2">
        <v>-143760.53</v>
      </c>
    </row>
    <row r="10" spans="1:3" ht="43.5" customHeight="1">
      <c r="A10" s="3" t="s">
        <v>9</v>
      </c>
      <c r="B10" s="4">
        <f>C10/12</f>
        <v>46117.485833333332</v>
      </c>
      <c r="C10" s="1">
        <v>553409.82999999996</v>
      </c>
    </row>
    <row r="11" spans="1:3" ht="46" customHeight="1">
      <c r="A11" s="3" t="s">
        <v>10</v>
      </c>
      <c r="B11" s="4">
        <f t="shared" ref="B11:B29" si="0">C11/12</f>
        <v>1541.25</v>
      </c>
      <c r="C11" s="1">
        <v>18495</v>
      </c>
    </row>
    <row r="12" spans="1:3" ht="16.5" customHeight="1">
      <c r="A12" s="2" t="s">
        <v>11</v>
      </c>
      <c r="B12" s="4">
        <f t="shared" si="0"/>
        <v>47658.735833333332</v>
      </c>
      <c r="C12" s="2">
        <f>SUM(C10:C11)</f>
        <v>571904.82999999996</v>
      </c>
    </row>
    <row r="13" spans="1:3" ht="15" customHeight="1">
      <c r="A13" s="2" t="s">
        <v>12</v>
      </c>
      <c r="B13" s="4">
        <f t="shared" si="0"/>
        <v>0</v>
      </c>
      <c r="C13" s="1"/>
    </row>
    <row r="14" spans="1:3" ht="76.5" customHeight="1">
      <c r="A14" s="3" t="s">
        <v>13</v>
      </c>
      <c r="B14" s="4">
        <f t="shared" si="0"/>
        <v>11963.473333333333</v>
      </c>
      <c r="C14" s="1">
        <f>117554.64+26007.04</f>
        <v>143561.68</v>
      </c>
    </row>
    <row r="15" spans="1:3" ht="75" customHeight="1">
      <c r="A15" s="3" t="s">
        <v>14</v>
      </c>
      <c r="B15" s="4">
        <f t="shared" si="0"/>
        <v>10206.995000000001</v>
      </c>
      <c r="C15" s="1">
        <f>31327.78+91156.16</f>
        <v>122483.94</v>
      </c>
    </row>
    <row r="16" spans="1:3" ht="62.5" customHeight="1">
      <c r="A16" s="3" t="s">
        <v>15</v>
      </c>
      <c r="B16" s="4">
        <f t="shared" si="0"/>
        <v>0</v>
      </c>
      <c r="C16" s="1"/>
    </row>
    <row r="17" spans="1:3" ht="18" customHeight="1">
      <c r="A17" s="1" t="s">
        <v>16</v>
      </c>
      <c r="B17" s="4">
        <f t="shared" si="0"/>
        <v>3279</v>
      </c>
      <c r="C17" s="1">
        <v>39348</v>
      </c>
    </row>
    <row r="18" spans="1:3" ht="21.5" customHeight="1">
      <c r="A18" s="1" t="s">
        <v>17</v>
      </c>
      <c r="B18" s="4">
        <f t="shared" si="0"/>
        <v>1675.4399999999998</v>
      </c>
      <c r="C18" s="1">
        <v>20105.28</v>
      </c>
    </row>
    <row r="19" spans="1:3" ht="15.5" customHeight="1">
      <c r="A19" s="1" t="s">
        <v>18</v>
      </c>
      <c r="B19" s="4">
        <f t="shared" si="0"/>
        <v>310.44</v>
      </c>
      <c r="C19" s="1">
        <v>3725.28</v>
      </c>
    </row>
    <row r="20" spans="1:3" ht="16.5" customHeight="1">
      <c r="A20" s="1" t="s">
        <v>19</v>
      </c>
      <c r="B20" s="4">
        <f t="shared" si="0"/>
        <v>0</v>
      </c>
      <c r="C20" s="1"/>
    </row>
    <row r="21" spans="1:3" ht="18.5" customHeight="1">
      <c r="A21" s="1" t="s">
        <v>20</v>
      </c>
      <c r="B21" s="4">
        <f t="shared" si="0"/>
        <v>952.13583333333327</v>
      </c>
      <c r="C21" s="1">
        <v>11425.63</v>
      </c>
    </row>
    <row r="22" spans="1:3" ht="14.5" customHeight="1">
      <c r="A22" s="1" t="s">
        <v>21</v>
      </c>
      <c r="B22" s="4">
        <f t="shared" si="0"/>
        <v>1044.2066666666667</v>
      </c>
      <c r="C22" s="1">
        <v>12530.48</v>
      </c>
    </row>
    <row r="23" spans="1:3" ht="16.5" customHeight="1">
      <c r="A23" s="1" t="s">
        <v>22</v>
      </c>
      <c r="B23" s="4">
        <f t="shared" si="0"/>
        <v>4177.8216666666667</v>
      </c>
      <c r="C23" s="1">
        <v>50133.86</v>
      </c>
    </row>
    <row r="24" spans="1:3" ht="15.5" customHeight="1">
      <c r="A24" s="1" t="s">
        <v>23</v>
      </c>
      <c r="B24" s="4">
        <f t="shared" si="0"/>
        <v>492.74916666666667</v>
      </c>
      <c r="C24" s="1">
        <v>5912.99</v>
      </c>
    </row>
    <row r="25" spans="1:3" ht="20.5" customHeight="1">
      <c r="A25" s="1" t="s">
        <v>24</v>
      </c>
      <c r="B25" s="4">
        <f t="shared" si="0"/>
        <v>2834.1924999999997</v>
      </c>
      <c r="C25" s="1">
        <v>34010.31</v>
      </c>
    </row>
    <row r="26" spans="1:3" ht="18" customHeight="1">
      <c r="A26" s="1" t="s">
        <v>25</v>
      </c>
      <c r="B26" s="4">
        <f t="shared" si="0"/>
        <v>262.82</v>
      </c>
      <c r="C26" s="1">
        <v>3153.84</v>
      </c>
    </row>
    <row r="27" spans="1:3" ht="15.5">
      <c r="A27" s="1" t="s">
        <v>26</v>
      </c>
      <c r="B27" s="4">
        <f t="shared" si="0"/>
        <v>0</v>
      </c>
      <c r="C27" s="1"/>
    </row>
    <row r="28" spans="1:3" ht="15.5">
      <c r="A28" s="1" t="s">
        <v>27</v>
      </c>
      <c r="B28" s="4">
        <f t="shared" si="0"/>
        <v>9500.3524999999991</v>
      </c>
      <c r="C28" s="1">
        <v>114004.23</v>
      </c>
    </row>
    <row r="29" spans="1:3" ht="15.5">
      <c r="A29" s="2" t="s">
        <v>28</v>
      </c>
      <c r="B29" s="4">
        <f t="shared" si="0"/>
        <v>46699.626666666671</v>
      </c>
      <c r="C29" s="2">
        <f>SUM(C14:C28)</f>
        <v>560395.52000000002</v>
      </c>
    </row>
    <row r="30" spans="1:3" ht="15.5">
      <c r="A30" s="2" t="s">
        <v>29</v>
      </c>
      <c r="B30" s="1"/>
      <c r="C30" s="2"/>
    </row>
    <row r="31" spans="1:3" ht="15.5">
      <c r="A31" s="2" t="s">
        <v>30</v>
      </c>
      <c r="B31" s="1"/>
      <c r="C31" s="2">
        <v>132251.22</v>
      </c>
    </row>
    <row r="32" spans="1:3" ht="28" customHeight="1">
      <c r="A32" s="3" t="s">
        <v>31</v>
      </c>
      <c r="B32" s="1"/>
      <c r="C32" s="1">
        <v>214378.07</v>
      </c>
    </row>
    <row r="33" spans="1:3" ht="13.5" customHeight="1">
      <c r="A33" s="3"/>
      <c r="B33" s="1"/>
      <c r="C33" s="1"/>
    </row>
    <row r="34" spans="1:3" ht="15.5">
      <c r="A34" s="2" t="s">
        <v>33</v>
      </c>
      <c r="B34" s="2"/>
      <c r="C34" s="2">
        <v>-346629.29</v>
      </c>
    </row>
    <row r="35" spans="1:3" ht="33" customHeight="1">
      <c r="A35" s="1" t="s">
        <v>34</v>
      </c>
      <c r="B35" s="1"/>
      <c r="C35" s="1"/>
    </row>
    <row r="36" spans="1:3" ht="29" customHeight="1">
      <c r="A36" s="1" t="s">
        <v>35</v>
      </c>
      <c r="B36" s="1"/>
      <c r="C36" s="1"/>
    </row>
    <row r="37" spans="1:3" ht="27.5" customHeight="1">
      <c r="A37" s="1" t="s">
        <v>111</v>
      </c>
      <c r="B37" s="1"/>
      <c r="C37" s="1"/>
    </row>
    <row r="38" spans="1:3" ht="26.5" customHeight="1">
      <c r="A38" s="1" t="s">
        <v>36</v>
      </c>
      <c r="B38" s="1"/>
      <c r="C38" s="1"/>
    </row>
  </sheetData>
  <pageMargins left="0.7" right="0.7" top="0.75" bottom="0.75" header="0.3" footer="0.3"/>
  <pageSetup paperSize="9" orientation="portrait" horizontalDpi="180" verticalDpi="1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37"/>
  <sheetViews>
    <sheetView topLeftCell="A20" workbookViewId="0">
      <selection activeCell="D31" sqref="D31"/>
    </sheetView>
  </sheetViews>
  <sheetFormatPr defaultRowHeight="14.5"/>
  <cols>
    <col min="1" max="1" width="48.1796875" customWidth="1"/>
    <col min="2" max="2" width="17.6328125" customWidth="1"/>
    <col min="3" max="3" width="17.36328125" customWidth="1"/>
  </cols>
  <sheetData>
    <row r="1" spans="1:3" ht="15.5">
      <c r="A1" s="1" t="s">
        <v>0</v>
      </c>
      <c r="B1" s="1"/>
      <c r="C1" s="1"/>
    </row>
    <row r="2" spans="1:3" ht="15.5">
      <c r="A2" s="1" t="s">
        <v>61</v>
      </c>
      <c r="B2" s="1" t="s">
        <v>59</v>
      </c>
      <c r="C2" s="1"/>
    </row>
    <row r="3" spans="1:3" ht="15.5">
      <c r="A3" s="1" t="s">
        <v>3</v>
      </c>
      <c r="B3" s="1"/>
      <c r="C3" s="1"/>
    </row>
    <row r="4" spans="1:3" ht="15.5">
      <c r="A4" s="1" t="s">
        <v>4</v>
      </c>
      <c r="B4" s="1"/>
      <c r="C4" s="1"/>
    </row>
    <row r="5" spans="1:3" ht="15.5">
      <c r="A5" s="1" t="s">
        <v>116</v>
      </c>
      <c r="B5" s="1"/>
      <c r="C5" s="1"/>
    </row>
    <row r="6" spans="1:3" ht="15.5">
      <c r="A6" s="1"/>
      <c r="B6" s="1"/>
      <c r="C6" s="1"/>
    </row>
    <row r="7" spans="1:3" ht="15.5">
      <c r="A7" s="1" t="s">
        <v>5</v>
      </c>
      <c r="B7" s="1" t="s">
        <v>6</v>
      </c>
      <c r="C7" s="1" t="s">
        <v>7</v>
      </c>
    </row>
    <row r="8" spans="1:3" ht="15.5">
      <c r="A8" s="2" t="s">
        <v>8</v>
      </c>
      <c r="B8" s="1"/>
      <c r="C8" s="2">
        <v>-149553.96</v>
      </c>
    </row>
    <row r="9" spans="1:3" ht="33" customHeight="1">
      <c r="A9" s="3" t="s">
        <v>9</v>
      </c>
      <c r="B9" s="4">
        <f>C9/12</f>
        <v>71490.376666666663</v>
      </c>
      <c r="C9" s="1">
        <v>857884.52</v>
      </c>
    </row>
    <row r="10" spans="1:3" ht="48" customHeight="1">
      <c r="A10" s="3" t="s">
        <v>10</v>
      </c>
      <c r="B10" s="4">
        <f t="shared" ref="B10:B28" si="0">C10/12</f>
        <v>1579.5833333333333</v>
      </c>
      <c r="C10" s="1">
        <v>18955</v>
      </c>
    </row>
    <row r="11" spans="1:3" ht="17.5" customHeight="1">
      <c r="A11" s="2" t="s">
        <v>11</v>
      </c>
      <c r="B11" s="4">
        <f t="shared" si="0"/>
        <v>73069.960000000006</v>
      </c>
      <c r="C11" s="2">
        <f>SUM(C9:C10)</f>
        <v>876839.52</v>
      </c>
    </row>
    <row r="12" spans="1:3" ht="14" customHeight="1">
      <c r="A12" s="2" t="s">
        <v>12</v>
      </c>
      <c r="B12" s="4">
        <f t="shared" si="0"/>
        <v>0</v>
      </c>
      <c r="C12" s="1"/>
    </row>
    <row r="13" spans="1:3" ht="76" customHeight="1">
      <c r="A13" s="3" t="s">
        <v>13</v>
      </c>
      <c r="B13" s="4">
        <f t="shared" si="0"/>
        <v>16014.903333333334</v>
      </c>
      <c r="C13" s="1">
        <f>157364.5+34814.34</f>
        <v>192178.84</v>
      </c>
    </row>
    <row r="14" spans="1:3" ht="77.5">
      <c r="A14" s="3" t="s">
        <v>14</v>
      </c>
      <c r="B14" s="4">
        <f t="shared" si="0"/>
        <v>18252.523333333334</v>
      </c>
      <c r="C14" s="1">
        <f>101148.44+117881.84</f>
        <v>219030.28</v>
      </c>
    </row>
    <row r="15" spans="1:3" ht="46.5">
      <c r="A15" s="3" t="s">
        <v>15</v>
      </c>
      <c r="B15" s="4">
        <f t="shared" si="0"/>
        <v>7031.3450000000003</v>
      </c>
      <c r="C15" s="1">
        <v>84376.14</v>
      </c>
    </row>
    <row r="16" spans="1:3" ht="15.5">
      <c r="A16" s="1" t="s">
        <v>16</v>
      </c>
      <c r="B16" s="4">
        <f t="shared" si="0"/>
        <v>3055.75</v>
      </c>
      <c r="C16" s="1">
        <v>36669</v>
      </c>
    </row>
    <row r="17" spans="1:3" ht="15.5">
      <c r="A17" s="1" t="s">
        <v>17</v>
      </c>
      <c r="B17" s="4">
        <f t="shared" si="0"/>
        <v>1981.1499999999999</v>
      </c>
      <c r="C17" s="1">
        <v>23773.8</v>
      </c>
    </row>
    <row r="18" spans="1:3" ht="15.5">
      <c r="A18" s="1" t="s">
        <v>18</v>
      </c>
      <c r="B18" s="4">
        <f t="shared" si="0"/>
        <v>194.62</v>
      </c>
      <c r="C18" s="1">
        <v>2335.44</v>
      </c>
    </row>
    <row r="19" spans="1:3" ht="15.5">
      <c r="A19" s="1" t="s">
        <v>19</v>
      </c>
      <c r="B19" s="4">
        <f t="shared" si="0"/>
        <v>9054.4699999999993</v>
      </c>
      <c r="C19" s="1">
        <v>108653.64</v>
      </c>
    </row>
    <row r="20" spans="1:3" ht="15.5">
      <c r="A20" s="1" t="s">
        <v>20</v>
      </c>
      <c r="B20" s="4">
        <f t="shared" si="0"/>
        <v>975.64499999999998</v>
      </c>
      <c r="C20" s="1">
        <v>11707.74</v>
      </c>
    </row>
    <row r="21" spans="1:3" ht="15.5">
      <c r="A21" s="1" t="s">
        <v>21</v>
      </c>
      <c r="B21" s="4">
        <f t="shared" si="0"/>
        <v>1593.345</v>
      </c>
      <c r="C21" s="1">
        <v>19120.14</v>
      </c>
    </row>
    <row r="22" spans="1:3" ht="15.5">
      <c r="A22" s="1" t="s">
        <v>22</v>
      </c>
      <c r="B22" s="4">
        <f t="shared" si="0"/>
        <v>4941.9658333333327</v>
      </c>
      <c r="C22" s="1">
        <v>59303.59</v>
      </c>
    </row>
    <row r="23" spans="1:3" ht="15.5">
      <c r="A23" s="1" t="s">
        <v>23</v>
      </c>
      <c r="B23" s="4">
        <f t="shared" si="0"/>
        <v>0</v>
      </c>
      <c r="C23" s="1"/>
    </row>
    <row r="24" spans="1:3" ht="15.5">
      <c r="A24" s="1" t="s">
        <v>24</v>
      </c>
      <c r="B24" s="4">
        <f t="shared" si="0"/>
        <v>4345.3591666666662</v>
      </c>
      <c r="C24" s="1">
        <v>52144.31</v>
      </c>
    </row>
    <row r="25" spans="1:3" ht="15.5">
      <c r="A25" s="1" t="s">
        <v>25</v>
      </c>
      <c r="B25" s="4">
        <f t="shared" si="0"/>
        <v>107.83333333333333</v>
      </c>
      <c r="C25" s="1">
        <v>1294</v>
      </c>
    </row>
    <row r="26" spans="1:3" ht="15.5">
      <c r="A26" s="1" t="s">
        <v>26</v>
      </c>
      <c r="B26" s="4">
        <f t="shared" si="0"/>
        <v>0</v>
      </c>
      <c r="C26" s="1"/>
    </row>
    <row r="27" spans="1:3" ht="15.5">
      <c r="A27" s="1" t="s">
        <v>27</v>
      </c>
      <c r="B27" s="4">
        <f t="shared" si="0"/>
        <v>11238.013333333334</v>
      </c>
      <c r="C27" s="1">
        <v>134856.16</v>
      </c>
    </row>
    <row r="28" spans="1:3" ht="15.5">
      <c r="A28" s="2" t="s">
        <v>28</v>
      </c>
      <c r="B28" s="4">
        <f t="shared" si="0"/>
        <v>78786.923333333325</v>
      </c>
      <c r="C28" s="2">
        <f>SUM(C13:C27)</f>
        <v>945443.08</v>
      </c>
    </row>
    <row r="29" spans="1:3" ht="24" customHeight="1">
      <c r="A29" s="2" t="s">
        <v>29</v>
      </c>
      <c r="B29" s="1"/>
      <c r="C29" s="2"/>
    </row>
    <row r="30" spans="1:3" ht="27.5" customHeight="1">
      <c r="A30" s="2" t="s">
        <v>30</v>
      </c>
      <c r="B30" s="1"/>
      <c r="C30" s="2">
        <v>218157.52</v>
      </c>
    </row>
    <row r="31" spans="1:3" ht="42.5" customHeight="1">
      <c r="A31" s="3" t="s">
        <v>31</v>
      </c>
      <c r="B31" s="1"/>
      <c r="C31" s="1">
        <v>238691.47</v>
      </c>
    </row>
    <row r="32" spans="1:3" ht="62" hidden="1">
      <c r="A32" s="3" t="s">
        <v>32</v>
      </c>
      <c r="B32" s="1"/>
      <c r="C32" s="1"/>
    </row>
    <row r="33" spans="1:3" ht="29" customHeight="1">
      <c r="A33" s="2" t="s">
        <v>33</v>
      </c>
      <c r="B33" s="2"/>
      <c r="C33" s="2">
        <v>-456848.99</v>
      </c>
    </row>
    <row r="34" spans="1:3" ht="33.5" customHeight="1">
      <c r="A34" s="1" t="s">
        <v>34</v>
      </c>
      <c r="B34" s="1"/>
      <c r="C34" s="1"/>
    </row>
    <row r="35" spans="1:3" ht="35.5" customHeight="1">
      <c r="A35" s="1" t="s">
        <v>35</v>
      </c>
      <c r="B35" s="1"/>
      <c r="C35" s="1"/>
    </row>
    <row r="36" spans="1:3" ht="30.5" customHeight="1">
      <c r="A36" s="1" t="s">
        <v>110</v>
      </c>
      <c r="B36" s="1"/>
      <c r="C36" s="1"/>
    </row>
    <row r="37" spans="1:3" ht="33" customHeight="1">
      <c r="A37" s="1" t="s">
        <v>36</v>
      </c>
      <c r="B37" s="1"/>
      <c r="C37" s="1"/>
    </row>
  </sheetData>
  <pageMargins left="0.7" right="0.7" top="0.75" bottom="0.7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37"/>
  <sheetViews>
    <sheetView topLeftCell="A19" workbookViewId="0">
      <selection activeCell="C34" sqref="C34"/>
    </sheetView>
  </sheetViews>
  <sheetFormatPr defaultRowHeight="14.5"/>
  <cols>
    <col min="1" max="1" width="45.1796875" customWidth="1"/>
    <col min="2" max="2" width="17.81640625" customWidth="1"/>
    <col min="3" max="3" width="17.36328125" customWidth="1"/>
  </cols>
  <sheetData>
    <row r="1" spans="1:3" ht="15.5">
      <c r="A1" s="1" t="s">
        <v>0</v>
      </c>
      <c r="B1" s="1"/>
      <c r="C1" s="1"/>
    </row>
    <row r="2" spans="1:3" ht="15.5">
      <c r="A2" s="1" t="s">
        <v>62</v>
      </c>
      <c r="B2" s="1" t="s">
        <v>59</v>
      </c>
      <c r="C2" s="1"/>
    </row>
    <row r="3" spans="1:3" ht="15.5">
      <c r="A3" s="1" t="s">
        <v>3</v>
      </c>
      <c r="B3" s="1"/>
      <c r="C3" s="1"/>
    </row>
    <row r="4" spans="1:3" ht="15.5">
      <c r="A4" s="1" t="s">
        <v>4</v>
      </c>
      <c r="B4" s="1"/>
      <c r="C4" s="1"/>
    </row>
    <row r="5" spans="1:3" ht="15.5">
      <c r="A5" s="1" t="s">
        <v>116</v>
      </c>
      <c r="B5" s="1"/>
      <c r="C5" s="1"/>
    </row>
    <row r="6" spans="1:3" ht="15.5">
      <c r="A6" s="1"/>
      <c r="B6" s="1"/>
      <c r="C6" s="1"/>
    </row>
    <row r="7" spans="1:3" ht="15.5">
      <c r="A7" s="1" t="s">
        <v>5</v>
      </c>
      <c r="B7" s="1" t="s">
        <v>6</v>
      </c>
      <c r="C7" s="1" t="s">
        <v>7</v>
      </c>
    </row>
    <row r="8" spans="1:3" ht="15.5">
      <c r="A8" s="2" t="s">
        <v>8</v>
      </c>
      <c r="B8" s="1"/>
      <c r="C8" s="2">
        <v>-247473.61</v>
      </c>
    </row>
    <row r="9" spans="1:3" ht="44.5" customHeight="1">
      <c r="A9" s="3" t="s">
        <v>9</v>
      </c>
      <c r="B9" s="4">
        <f>C9/12</f>
        <v>137051.88</v>
      </c>
      <c r="C9" s="1">
        <v>1644622.56</v>
      </c>
    </row>
    <row r="10" spans="1:3" ht="43.5" customHeight="1">
      <c r="A10" s="3" t="s">
        <v>10</v>
      </c>
      <c r="B10" s="4">
        <f t="shared" ref="B10:B28" si="0">C10/12</f>
        <v>20200.658333333336</v>
      </c>
      <c r="C10" s="1">
        <f>194284.1+48123.8</f>
        <v>242407.90000000002</v>
      </c>
    </row>
    <row r="11" spans="1:3" ht="16" customHeight="1">
      <c r="A11" s="2" t="s">
        <v>11</v>
      </c>
      <c r="B11" s="4">
        <f t="shared" si="0"/>
        <v>157252.53833333333</v>
      </c>
      <c r="C11" s="2">
        <f>SUM(C9:C10)</f>
        <v>1887030.46</v>
      </c>
    </row>
    <row r="12" spans="1:3" ht="18" customHeight="1">
      <c r="A12" s="2" t="s">
        <v>12</v>
      </c>
      <c r="B12" s="4">
        <f t="shared" si="0"/>
        <v>0</v>
      </c>
      <c r="C12" s="1"/>
    </row>
    <row r="13" spans="1:3" ht="76" customHeight="1">
      <c r="A13" s="3" t="s">
        <v>13</v>
      </c>
      <c r="B13" s="4">
        <f t="shared" si="0"/>
        <v>40335.98333333333</v>
      </c>
      <c r="C13" s="1">
        <f>396346.6+87685.2</f>
        <v>484031.8</v>
      </c>
    </row>
    <row r="14" spans="1:3" ht="77.5">
      <c r="A14" s="3" t="s">
        <v>14</v>
      </c>
      <c r="B14" s="4">
        <f t="shared" si="0"/>
        <v>36433.738333333335</v>
      </c>
      <c r="C14" s="1">
        <f>96981.7+340223.16</f>
        <v>437204.86</v>
      </c>
    </row>
    <row r="15" spans="1:3" ht="62">
      <c r="A15" s="3" t="s">
        <v>15</v>
      </c>
      <c r="B15" s="4">
        <f t="shared" si="0"/>
        <v>0</v>
      </c>
      <c r="C15" s="1"/>
    </row>
    <row r="16" spans="1:3" ht="15.5">
      <c r="A16" s="1" t="s">
        <v>16</v>
      </c>
      <c r="B16" s="4">
        <f t="shared" si="0"/>
        <v>22546.166666666668</v>
      </c>
      <c r="C16" s="1">
        <v>270554</v>
      </c>
    </row>
    <row r="17" spans="1:3" ht="15.5">
      <c r="A17" s="1" t="s">
        <v>17</v>
      </c>
      <c r="B17" s="4">
        <f t="shared" si="0"/>
        <v>5525.68</v>
      </c>
      <c r="C17" s="1">
        <v>66308.160000000003</v>
      </c>
    </row>
    <row r="18" spans="1:3" ht="15.5">
      <c r="A18" s="1" t="s">
        <v>18</v>
      </c>
      <c r="B18" s="4">
        <f t="shared" si="0"/>
        <v>782.93</v>
      </c>
      <c r="C18" s="1">
        <v>9395.16</v>
      </c>
    </row>
    <row r="19" spans="1:3" ht="15.5">
      <c r="A19" s="1" t="s">
        <v>19</v>
      </c>
      <c r="B19" s="4">
        <f t="shared" si="0"/>
        <v>0</v>
      </c>
      <c r="C19" s="1"/>
    </row>
    <row r="20" spans="1:3" ht="15.5">
      <c r="A20" s="1" t="s">
        <v>20</v>
      </c>
      <c r="B20" s="4">
        <f t="shared" si="0"/>
        <v>2409.7266666666669</v>
      </c>
      <c r="C20" s="1">
        <v>28916.720000000001</v>
      </c>
    </row>
    <row r="21" spans="1:3" ht="15.5">
      <c r="A21" s="1" t="s">
        <v>21</v>
      </c>
      <c r="B21" s="4">
        <f t="shared" si="0"/>
        <v>3432.5966666666668</v>
      </c>
      <c r="C21" s="1">
        <v>41191.160000000003</v>
      </c>
    </row>
    <row r="22" spans="1:3" ht="15.5">
      <c r="A22" s="1" t="s">
        <v>22</v>
      </c>
      <c r="B22" s="4">
        <f t="shared" si="0"/>
        <v>14180.895833333334</v>
      </c>
      <c r="C22" s="1">
        <v>170170.75</v>
      </c>
    </row>
    <row r="23" spans="1:3" ht="15.5">
      <c r="A23" s="1" t="s">
        <v>23</v>
      </c>
      <c r="B23" s="4">
        <f t="shared" si="0"/>
        <v>126.83666666666666</v>
      </c>
      <c r="C23" s="1">
        <v>1522.04</v>
      </c>
    </row>
    <row r="24" spans="1:3" ht="15.5">
      <c r="A24" s="1" t="s">
        <v>24</v>
      </c>
      <c r="B24" s="4">
        <f t="shared" si="0"/>
        <v>9351.5683333333345</v>
      </c>
      <c r="C24" s="1">
        <v>112218.82</v>
      </c>
    </row>
    <row r="25" spans="1:3" ht="15.5">
      <c r="A25" s="1" t="s">
        <v>25</v>
      </c>
      <c r="B25" s="4">
        <f t="shared" si="0"/>
        <v>666.6491666666667</v>
      </c>
      <c r="C25" s="1">
        <v>7999.79</v>
      </c>
    </row>
    <row r="26" spans="1:3" ht="15.5">
      <c r="A26" s="1" t="s">
        <v>26</v>
      </c>
      <c r="B26" s="4">
        <f t="shared" si="0"/>
        <v>0</v>
      </c>
      <c r="C26" s="1"/>
    </row>
    <row r="27" spans="1:3" ht="15.5">
      <c r="A27" s="1" t="s">
        <v>27</v>
      </c>
      <c r="B27" s="4">
        <f t="shared" si="0"/>
        <v>32247.307499999999</v>
      </c>
      <c r="C27" s="1">
        <v>386967.69</v>
      </c>
    </row>
    <row r="28" spans="1:3" ht="17.5" customHeight="1">
      <c r="A28" s="2" t="s">
        <v>28</v>
      </c>
      <c r="B28" s="4">
        <f t="shared" si="0"/>
        <v>168040.07916666663</v>
      </c>
      <c r="C28" s="2">
        <f>SUM(C13:C27)</f>
        <v>2016480.9499999997</v>
      </c>
    </row>
    <row r="29" spans="1:3" ht="20.5" customHeight="1">
      <c r="A29" s="2" t="s">
        <v>29</v>
      </c>
      <c r="B29" s="1"/>
      <c r="C29" s="2"/>
    </row>
    <row r="30" spans="1:3" ht="27.5" customHeight="1">
      <c r="A30" s="2" t="s">
        <v>30</v>
      </c>
      <c r="B30" s="1"/>
      <c r="C30" s="2">
        <v>376924.1</v>
      </c>
    </row>
    <row r="31" spans="1:3" ht="43" customHeight="1">
      <c r="A31" s="3" t="s">
        <v>31</v>
      </c>
      <c r="B31" s="1"/>
      <c r="C31" s="1">
        <v>1057692.81</v>
      </c>
    </row>
    <row r="32" spans="1:3" ht="62" hidden="1">
      <c r="A32" s="3" t="s">
        <v>32</v>
      </c>
      <c r="B32" s="1"/>
      <c r="C32" s="1"/>
    </row>
    <row r="33" spans="1:3" ht="31" customHeight="1">
      <c r="A33" s="2" t="s">
        <v>33</v>
      </c>
      <c r="B33" s="2"/>
      <c r="C33" s="2">
        <v>-1434616.91</v>
      </c>
    </row>
    <row r="34" spans="1:3" ht="24" customHeight="1">
      <c r="A34" s="1" t="s">
        <v>34</v>
      </c>
      <c r="B34" s="1"/>
      <c r="C34" s="1"/>
    </row>
    <row r="35" spans="1:3" ht="30.5" customHeight="1">
      <c r="A35" s="1" t="s">
        <v>35</v>
      </c>
      <c r="B35" s="1"/>
      <c r="C35" s="1"/>
    </row>
    <row r="36" spans="1:3" ht="27.5" customHeight="1">
      <c r="A36" s="1" t="s">
        <v>112</v>
      </c>
      <c r="B36" s="1"/>
      <c r="C36" s="1"/>
    </row>
    <row r="37" spans="1:3" ht="34.5" customHeight="1">
      <c r="A37" s="1" t="s">
        <v>36</v>
      </c>
      <c r="B37" s="1"/>
      <c r="C37" s="1"/>
    </row>
  </sheetData>
  <pageMargins left="0.7" right="0.7" top="0.75" bottom="0.7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37"/>
  <sheetViews>
    <sheetView topLeftCell="A22" workbookViewId="0">
      <selection activeCell="C34" sqref="C34"/>
    </sheetView>
  </sheetViews>
  <sheetFormatPr defaultRowHeight="14.5"/>
  <cols>
    <col min="1" max="1" width="42.6328125" customWidth="1"/>
    <col min="2" max="2" width="15.36328125" customWidth="1"/>
    <col min="3" max="3" width="15" customWidth="1"/>
  </cols>
  <sheetData>
    <row r="1" spans="1:3" ht="15.5">
      <c r="A1" s="1" t="s">
        <v>0</v>
      </c>
      <c r="B1" s="1"/>
      <c r="C1" s="1"/>
    </row>
    <row r="2" spans="1:3" ht="15.5">
      <c r="A2" s="1" t="s">
        <v>63</v>
      </c>
      <c r="B2" s="1" t="s">
        <v>59</v>
      </c>
      <c r="C2" s="1"/>
    </row>
    <row r="3" spans="1:3" ht="15.5">
      <c r="A3" s="1" t="s">
        <v>3</v>
      </c>
      <c r="B3" s="1"/>
      <c r="C3" s="1"/>
    </row>
    <row r="4" spans="1:3" ht="15.5">
      <c r="A4" s="1" t="s">
        <v>4</v>
      </c>
      <c r="B4" s="1"/>
      <c r="C4" s="1"/>
    </row>
    <row r="5" spans="1:3" ht="15.5">
      <c r="A5" s="1" t="s">
        <v>116</v>
      </c>
      <c r="B5" s="1"/>
      <c r="C5" s="1"/>
    </row>
    <row r="6" spans="1:3" ht="15.5">
      <c r="A6" s="1"/>
      <c r="B6" s="1"/>
      <c r="C6" s="1"/>
    </row>
    <row r="7" spans="1:3" ht="15.5">
      <c r="A7" s="1" t="s">
        <v>5</v>
      </c>
      <c r="B7" s="1" t="s">
        <v>6</v>
      </c>
      <c r="C7" s="1" t="s">
        <v>7</v>
      </c>
    </row>
    <row r="8" spans="1:3" ht="15.5">
      <c r="A8" s="2" t="s">
        <v>8</v>
      </c>
      <c r="B8" s="1"/>
      <c r="C8" s="2">
        <v>74590.14</v>
      </c>
    </row>
    <row r="9" spans="1:3" ht="54.5" customHeight="1">
      <c r="A9" s="3" t="s">
        <v>9</v>
      </c>
      <c r="B9" s="4">
        <f>C9/12</f>
        <v>84869.496666666659</v>
      </c>
      <c r="C9" s="1">
        <f>1018433.96</f>
        <v>1018433.96</v>
      </c>
    </row>
    <row r="10" spans="1:3" ht="42.5" customHeight="1">
      <c r="A10" s="3" t="s">
        <v>10</v>
      </c>
      <c r="B10" s="4">
        <f t="shared" ref="B10:B28" si="0">C10/12</f>
        <v>3660.6333333333332</v>
      </c>
      <c r="C10" s="1">
        <v>43927.6</v>
      </c>
    </row>
    <row r="11" spans="1:3" ht="18" customHeight="1">
      <c r="A11" s="2" t="s">
        <v>11</v>
      </c>
      <c r="B11" s="4">
        <f t="shared" si="0"/>
        <v>88530.13</v>
      </c>
      <c r="C11" s="2">
        <f>SUM(C9:C10)</f>
        <v>1062361.56</v>
      </c>
    </row>
    <row r="12" spans="1:3" ht="18.5" customHeight="1">
      <c r="A12" s="2" t="s">
        <v>12</v>
      </c>
      <c r="B12" s="4">
        <f t="shared" si="0"/>
        <v>0</v>
      </c>
      <c r="C12" s="1"/>
    </row>
    <row r="13" spans="1:3" ht="78.5" customHeight="1">
      <c r="A13" s="3" t="s">
        <v>13</v>
      </c>
      <c r="B13" s="4">
        <f t="shared" si="0"/>
        <v>21655.884999999998</v>
      </c>
      <c r="C13" s="1">
        <f>212793.5+47077.12</f>
        <v>259870.62</v>
      </c>
    </row>
    <row r="14" spans="1:3" ht="77.5">
      <c r="A14" s="3" t="s">
        <v>14</v>
      </c>
      <c r="B14" s="4">
        <f t="shared" si="0"/>
        <v>15698.470000000001</v>
      </c>
      <c r="C14" s="1">
        <f>69761.64+118620</f>
        <v>188381.64</v>
      </c>
    </row>
    <row r="15" spans="1:3" ht="62">
      <c r="A15" s="3" t="s">
        <v>15</v>
      </c>
      <c r="B15" s="4">
        <f t="shared" si="0"/>
        <v>0</v>
      </c>
      <c r="C15" s="1"/>
    </row>
    <row r="16" spans="1:3" ht="15.5">
      <c r="A16" s="1" t="s">
        <v>16</v>
      </c>
      <c r="B16" s="4">
        <f t="shared" si="0"/>
        <v>11720.25</v>
      </c>
      <c r="C16" s="1">
        <v>140643</v>
      </c>
    </row>
    <row r="17" spans="1:3" ht="15.5">
      <c r="A17" s="1" t="s">
        <v>17</v>
      </c>
      <c r="B17" s="4">
        <f t="shared" si="0"/>
        <v>2965.4</v>
      </c>
      <c r="C17" s="1">
        <v>35584.800000000003</v>
      </c>
    </row>
    <row r="18" spans="1:3" ht="15.5">
      <c r="A18" s="1" t="s">
        <v>18</v>
      </c>
      <c r="B18" s="4">
        <f t="shared" si="0"/>
        <v>273.98</v>
      </c>
      <c r="C18" s="1">
        <v>3287.76</v>
      </c>
    </row>
    <row r="19" spans="1:3" ht="15.5">
      <c r="A19" s="1" t="s">
        <v>19</v>
      </c>
      <c r="B19" s="4">
        <f t="shared" si="0"/>
        <v>0</v>
      </c>
      <c r="C19" s="1"/>
    </row>
    <row r="20" spans="1:3" ht="15.5">
      <c r="A20" s="1" t="s">
        <v>20</v>
      </c>
      <c r="B20" s="4">
        <f t="shared" si="0"/>
        <v>1457.5908333333334</v>
      </c>
      <c r="C20" s="1">
        <v>17491.09</v>
      </c>
    </row>
    <row r="21" spans="1:3" ht="15.5">
      <c r="A21" s="1" t="s">
        <v>21</v>
      </c>
      <c r="B21" s="4">
        <f t="shared" si="0"/>
        <v>1927.2941666666666</v>
      </c>
      <c r="C21" s="1">
        <v>23127.53</v>
      </c>
    </row>
    <row r="22" spans="1:3" ht="15.5">
      <c r="A22" s="1" t="s">
        <v>22</v>
      </c>
      <c r="B22" s="4">
        <f t="shared" si="0"/>
        <v>7420.2775000000001</v>
      </c>
      <c r="C22" s="1">
        <v>89043.33</v>
      </c>
    </row>
    <row r="23" spans="1:3" ht="15.5">
      <c r="A23" s="1" t="s">
        <v>23</v>
      </c>
      <c r="B23" s="4">
        <f t="shared" si="0"/>
        <v>74.504999999999995</v>
      </c>
      <c r="C23" s="1">
        <v>894.06</v>
      </c>
    </row>
    <row r="24" spans="1:3" ht="15.5">
      <c r="A24" s="1" t="s">
        <v>24</v>
      </c>
      <c r="B24" s="4">
        <f t="shared" si="0"/>
        <v>5264.7516666666661</v>
      </c>
      <c r="C24" s="1">
        <v>63177.02</v>
      </c>
    </row>
    <row r="25" spans="1:3" ht="15.5">
      <c r="A25" s="1" t="s">
        <v>25</v>
      </c>
      <c r="B25" s="4">
        <f t="shared" si="0"/>
        <v>451.6033333333333</v>
      </c>
      <c r="C25" s="1">
        <v>5419.24</v>
      </c>
    </row>
    <row r="26" spans="1:3" ht="15.5">
      <c r="A26" s="1" t="s">
        <v>26</v>
      </c>
      <c r="B26" s="4">
        <f t="shared" si="0"/>
        <v>0</v>
      </c>
      <c r="C26" s="1"/>
    </row>
    <row r="27" spans="1:3" ht="15.5">
      <c r="A27" s="1" t="s">
        <v>27</v>
      </c>
      <c r="B27" s="4">
        <f t="shared" si="0"/>
        <v>16873.685833333333</v>
      </c>
      <c r="C27" s="1">
        <v>202484.23</v>
      </c>
    </row>
    <row r="28" spans="1:3" ht="15.5">
      <c r="A28" s="2" t="s">
        <v>28</v>
      </c>
      <c r="B28" s="4">
        <f t="shared" si="0"/>
        <v>85783.693333333344</v>
      </c>
      <c r="C28" s="2">
        <f>SUM(C13:C27)</f>
        <v>1029404.3200000001</v>
      </c>
    </row>
    <row r="29" spans="1:3" ht="25" customHeight="1">
      <c r="A29" s="2" t="s">
        <v>29</v>
      </c>
      <c r="B29" s="1"/>
      <c r="C29" s="2">
        <v>107547.38</v>
      </c>
    </row>
    <row r="30" spans="1:3" ht="28.5" customHeight="1">
      <c r="A30" s="2" t="s">
        <v>30</v>
      </c>
      <c r="B30" s="1"/>
      <c r="C30" s="2"/>
    </row>
    <row r="31" spans="1:3" ht="31">
      <c r="A31" s="3" t="s">
        <v>31</v>
      </c>
      <c r="B31" s="1"/>
      <c r="C31" s="1">
        <v>394110.94</v>
      </c>
    </row>
    <row r="32" spans="1:3" ht="0.5" customHeight="1">
      <c r="A32" s="3" t="s">
        <v>32</v>
      </c>
      <c r="B32" s="1"/>
      <c r="C32" s="1"/>
    </row>
    <row r="33" spans="1:3" ht="29" customHeight="1">
      <c r="A33" s="2" t="s">
        <v>33</v>
      </c>
      <c r="B33" s="2"/>
      <c r="C33" s="2">
        <v>-286563.56</v>
      </c>
    </row>
    <row r="34" spans="1:3" ht="27.5" customHeight="1">
      <c r="A34" s="1" t="s">
        <v>34</v>
      </c>
      <c r="B34" s="1"/>
      <c r="C34" s="1"/>
    </row>
    <row r="35" spans="1:3" ht="33.5" customHeight="1">
      <c r="A35" s="1" t="s">
        <v>35</v>
      </c>
      <c r="B35" s="1"/>
      <c r="C35" s="1"/>
    </row>
    <row r="36" spans="1:3" ht="25" customHeight="1">
      <c r="A36" s="1" t="s">
        <v>64</v>
      </c>
      <c r="B36" s="1"/>
      <c r="C36" s="1"/>
    </row>
    <row r="37" spans="1:3" ht="26.5" customHeight="1">
      <c r="A37" s="1" t="s">
        <v>36</v>
      </c>
      <c r="B37" s="1"/>
      <c r="C37" s="1"/>
    </row>
  </sheetData>
  <pageMargins left="0.7" right="0.7" top="0.75" bottom="0.75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37"/>
  <sheetViews>
    <sheetView topLeftCell="A18" workbookViewId="0">
      <selection activeCell="C34" sqref="C34"/>
    </sheetView>
  </sheetViews>
  <sheetFormatPr defaultRowHeight="14.5"/>
  <cols>
    <col min="1" max="1" width="44.453125" customWidth="1"/>
    <col min="2" max="2" width="18" customWidth="1"/>
    <col min="3" max="3" width="17.1796875" customWidth="1"/>
  </cols>
  <sheetData>
    <row r="1" spans="1:3" ht="15.5">
      <c r="A1" s="1" t="s">
        <v>0</v>
      </c>
      <c r="B1" s="1"/>
      <c r="C1" s="1"/>
    </row>
    <row r="2" spans="1:3" ht="15.5">
      <c r="A2" s="1" t="s">
        <v>65</v>
      </c>
      <c r="B2" s="1" t="s">
        <v>59</v>
      </c>
      <c r="C2" s="1"/>
    </row>
    <row r="3" spans="1:3" ht="15.5">
      <c r="A3" s="1" t="s">
        <v>3</v>
      </c>
      <c r="B3" s="1"/>
      <c r="C3" s="1"/>
    </row>
    <row r="4" spans="1:3" ht="15.5">
      <c r="A4" s="1" t="s">
        <v>4</v>
      </c>
      <c r="B4" s="1"/>
      <c r="C4" s="1"/>
    </row>
    <row r="5" spans="1:3" ht="15.5">
      <c r="A5" s="1" t="s">
        <v>116</v>
      </c>
      <c r="B5" s="1"/>
      <c r="C5" s="1"/>
    </row>
    <row r="6" spans="1:3" ht="6.5" customHeight="1">
      <c r="A6" s="1"/>
      <c r="B6" s="1"/>
      <c r="C6" s="1"/>
    </row>
    <row r="7" spans="1:3" ht="15.5">
      <c r="A7" s="1" t="s">
        <v>5</v>
      </c>
      <c r="B7" s="1" t="s">
        <v>6</v>
      </c>
      <c r="C7" s="1" t="s">
        <v>7</v>
      </c>
    </row>
    <row r="8" spans="1:3" ht="22.5" customHeight="1">
      <c r="A8" s="2" t="s">
        <v>8</v>
      </c>
      <c r="B8" s="1"/>
      <c r="C8" s="2">
        <v>-126788.88</v>
      </c>
    </row>
    <row r="9" spans="1:3" ht="43.5" customHeight="1">
      <c r="A9" s="3" t="s">
        <v>9</v>
      </c>
      <c r="B9" s="4">
        <f>C9/12</f>
        <v>68912.891666666663</v>
      </c>
      <c r="C9" s="1">
        <v>826954.7</v>
      </c>
    </row>
    <row r="10" spans="1:3" ht="48" customHeight="1">
      <c r="A10" s="3" t="s">
        <v>10</v>
      </c>
      <c r="B10" s="4">
        <f t="shared" ref="B10:B11" si="0">C10/12</f>
        <v>14140.041666666666</v>
      </c>
      <c r="C10" s="1">
        <f>140481.5+29199</f>
        <v>169680.5</v>
      </c>
    </row>
    <row r="11" spans="1:3" ht="20.5" customHeight="1">
      <c r="A11" s="2" t="s">
        <v>11</v>
      </c>
      <c r="B11" s="4">
        <f t="shared" si="0"/>
        <v>83052.933333333334</v>
      </c>
      <c r="C11" s="2">
        <f>SUM(C9:C10)</f>
        <v>996635.2</v>
      </c>
    </row>
    <row r="12" spans="1:3" ht="16" customHeight="1">
      <c r="A12" s="2" t="s">
        <v>12</v>
      </c>
      <c r="B12" s="4"/>
      <c r="C12" s="1"/>
    </row>
    <row r="13" spans="1:3" ht="76.5" customHeight="1">
      <c r="A13" s="3" t="s">
        <v>13</v>
      </c>
      <c r="B13" s="4">
        <f>C13/12</f>
        <v>17814.813333333335</v>
      </c>
      <c r="C13" s="1">
        <f>175050.7+38727.06</f>
        <v>213777.76</v>
      </c>
    </row>
    <row r="14" spans="1:3" ht="77.5">
      <c r="A14" s="3" t="s">
        <v>14</v>
      </c>
      <c r="B14" s="4">
        <f t="shared" ref="B14:B28" si="1">C14/12</f>
        <v>19725.731666666663</v>
      </c>
      <c r="C14" s="1">
        <f>95635.98+141072.8</f>
        <v>236708.77999999997</v>
      </c>
    </row>
    <row r="15" spans="1:3" ht="62">
      <c r="A15" s="3" t="s">
        <v>15</v>
      </c>
      <c r="B15" s="4">
        <f t="shared" si="1"/>
        <v>12876.68</v>
      </c>
      <c r="C15" s="1">
        <v>154520.16</v>
      </c>
    </row>
    <row r="16" spans="1:3" ht="15.5">
      <c r="A16" s="1" t="s">
        <v>16</v>
      </c>
      <c r="B16" s="4">
        <f t="shared" si="1"/>
        <v>3094.0833333333335</v>
      </c>
      <c r="C16" s="1">
        <v>37129</v>
      </c>
    </row>
    <row r="17" spans="1:3" ht="15.5">
      <c r="A17" s="1" t="s">
        <v>17</v>
      </c>
      <c r="B17" s="4">
        <f t="shared" si="1"/>
        <v>2273.02</v>
      </c>
      <c r="C17" s="1">
        <v>27276.240000000002</v>
      </c>
    </row>
    <row r="18" spans="1:3" ht="15.5">
      <c r="A18" s="1" t="s">
        <v>18</v>
      </c>
      <c r="B18" s="4">
        <f t="shared" si="1"/>
        <v>143.66</v>
      </c>
      <c r="C18" s="1">
        <v>1723.92</v>
      </c>
    </row>
    <row r="19" spans="1:3" ht="15.5">
      <c r="A19" s="1" t="s">
        <v>19</v>
      </c>
      <c r="B19" s="4">
        <f t="shared" si="1"/>
        <v>10316.620000000001</v>
      </c>
      <c r="C19" s="1">
        <v>123799.44</v>
      </c>
    </row>
    <row r="20" spans="1:3" ht="15.5">
      <c r="A20" s="1" t="s">
        <v>20</v>
      </c>
      <c r="B20" s="4">
        <f t="shared" si="1"/>
        <v>1786.7241666666666</v>
      </c>
      <c r="C20" s="1">
        <v>21440.69</v>
      </c>
    </row>
    <row r="21" spans="1:3" ht="15.5">
      <c r="A21" s="1" t="s">
        <v>21</v>
      </c>
      <c r="B21" s="4">
        <f t="shared" si="1"/>
        <v>1794.8883333333333</v>
      </c>
      <c r="C21" s="1">
        <v>21538.66</v>
      </c>
    </row>
    <row r="22" spans="1:3" ht="15.5">
      <c r="A22" s="1" t="s">
        <v>22</v>
      </c>
      <c r="B22" s="4">
        <f t="shared" si="1"/>
        <v>5682.8908333333338</v>
      </c>
      <c r="C22" s="1">
        <v>68194.69</v>
      </c>
    </row>
    <row r="23" spans="1:3" ht="15.5">
      <c r="A23" s="1" t="s">
        <v>23</v>
      </c>
      <c r="B23" s="4">
        <f t="shared" si="1"/>
        <v>168.06916666666666</v>
      </c>
      <c r="C23" s="1">
        <v>2016.83</v>
      </c>
    </row>
    <row r="24" spans="1:3" ht="15.5">
      <c r="A24" s="1" t="s">
        <v>24</v>
      </c>
      <c r="B24" s="4">
        <f t="shared" si="1"/>
        <v>4939.0308333333332</v>
      </c>
      <c r="C24" s="1">
        <v>59268.37</v>
      </c>
    </row>
    <row r="25" spans="1:3" ht="15.5">
      <c r="A25" s="1" t="s">
        <v>25</v>
      </c>
      <c r="B25" s="4">
        <f t="shared" si="1"/>
        <v>391.49</v>
      </c>
      <c r="C25" s="1">
        <v>4697.88</v>
      </c>
    </row>
    <row r="26" spans="1:3" ht="15.5">
      <c r="A26" s="1" t="s">
        <v>26</v>
      </c>
      <c r="B26" s="4">
        <f t="shared" si="1"/>
        <v>0</v>
      </c>
      <c r="C26" s="1"/>
    </row>
    <row r="27" spans="1:3" ht="15.5">
      <c r="A27" s="1" t="s">
        <v>27</v>
      </c>
      <c r="B27" s="4">
        <f t="shared" si="1"/>
        <v>12922.874166666666</v>
      </c>
      <c r="C27" s="1">
        <v>155074.49</v>
      </c>
    </row>
    <row r="28" spans="1:3" ht="15.5">
      <c r="A28" s="2" t="s">
        <v>28</v>
      </c>
      <c r="B28" s="4">
        <f t="shared" si="1"/>
        <v>93930.575833333351</v>
      </c>
      <c r="C28" s="2">
        <f>SUM(C13:C27)</f>
        <v>1127166.9100000001</v>
      </c>
    </row>
    <row r="29" spans="1:3" ht="29" customHeight="1">
      <c r="A29" s="2" t="s">
        <v>29</v>
      </c>
      <c r="B29" s="1"/>
      <c r="C29" s="2"/>
    </row>
    <row r="30" spans="1:3" ht="28" customHeight="1">
      <c r="A30" s="2" t="s">
        <v>30</v>
      </c>
      <c r="B30" s="1"/>
      <c r="C30" s="2">
        <v>257320.59</v>
      </c>
    </row>
    <row r="31" spans="1:3" ht="42" customHeight="1">
      <c r="A31" s="3" t="s">
        <v>31</v>
      </c>
      <c r="B31" s="1"/>
      <c r="C31" s="1">
        <v>429006.3</v>
      </c>
    </row>
    <row r="32" spans="1:3" ht="62" hidden="1">
      <c r="A32" s="3" t="s">
        <v>32</v>
      </c>
      <c r="B32" s="1"/>
      <c r="C32" s="1"/>
    </row>
    <row r="33" spans="1:3" ht="31" customHeight="1">
      <c r="A33" s="2" t="s">
        <v>33</v>
      </c>
      <c r="B33" s="2"/>
      <c r="C33" s="2">
        <v>686326.89</v>
      </c>
    </row>
    <row r="34" spans="1:3" ht="36.5" customHeight="1">
      <c r="A34" s="1" t="s">
        <v>34</v>
      </c>
      <c r="B34" s="1"/>
      <c r="C34" s="1"/>
    </row>
    <row r="35" spans="1:3" ht="28" customHeight="1">
      <c r="A35" s="1" t="s">
        <v>35</v>
      </c>
      <c r="B35" s="1"/>
      <c r="C35" s="1"/>
    </row>
    <row r="36" spans="1:3" ht="31" customHeight="1">
      <c r="A36" s="1" t="s">
        <v>64</v>
      </c>
      <c r="B36" s="1"/>
      <c r="C36" s="1"/>
    </row>
    <row r="37" spans="1:3" ht="33.5" customHeight="1">
      <c r="A37" s="1" t="s">
        <v>36</v>
      </c>
      <c r="B37" s="1"/>
      <c r="C37" s="1"/>
    </row>
  </sheetData>
  <pageMargins left="0.7" right="0.7" top="0.75" bottom="0.75" header="0.3" footer="0.3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37"/>
  <sheetViews>
    <sheetView topLeftCell="A21" workbookViewId="0">
      <selection activeCell="C34" sqref="C34"/>
    </sheetView>
  </sheetViews>
  <sheetFormatPr defaultRowHeight="14.5"/>
  <cols>
    <col min="1" max="1" width="48.1796875" customWidth="1"/>
    <col min="2" max="3" width="17.08984375" customWidth="1"/>
  </cols>
  <sheetData>
    <row r="1" spans="1:3" ht="15.5">
      <c r="A1" s="1" t="s">
        <v>0</v>
      </c>
      <c r="B1" s="1"/>
      <c r="C1" s="1"/>
    </row>
    <row r="2" spans="1:3" ht="15.5">
      <c r="A2" s="1" t="s">
        <v>1</v>
      </c>
      <c r="B2" s="1" t="s">
        <v>66</v>
      </c>
      <c r="C2" s="1"/>
    </row>
    <row r="3" spans="1:3" ht="15.5">
      <c r="A3" s="1" t="s">
        <v>3</v>
      </c>
      <c r="B3" s="1"/>
      <c r="C3" s="1"/>
    </row>
    <row r="4" spans="1:3" ht="15.5">
      <c r="A4" s="1" t="s">
        <v>4</v>
      </c>
      <c r="B4" s="1"/>
      <c r="C4" s="1"/>
    </row>
    <row r="5" spans="1:3" ht="15.5">
      <c r="A5" s="1" t="s">
        <v>116</v>
      </c>
      <c r="B5" s="1"/>
      <c r="C5" s="1"/>
    </row>
    <row r="6" spans="1:3" ht="15.5">
      <c r="A6" s="1"/>
      <c r="B6" s="1"/>
      <c r="C6" s="1"/>
    </row>
    <row r="7" spans="1:3" ht="15.5">
      <c r="A7" s="1" t="s">
        <v>5</v>
      </c>
      <c r="B7" s="1" t="s">
        <v>6</v>
      </c>
      <c r="C7" s="1" t="s">
        <v>7</v>
      </c>
    </row>
    <row r="8" spans="1:3" ht="15.5">
      <c r="A8" s="2" t="s">
        <v>8</v>
      </c>
      <c r="B8" s="1"/>
      <c r="C8" s="2">
        <v>-30870.86</v>
      </c>
    </row>
    <row r="9" spans="1:3" ht="28" customHeight="1">
      <c r="A9" s="3" t="s">
        <v>9</v>
      </c>
      <c r="B9" s="4">
        <f>C9/12</f>
        <v>36006.508333333331</v>
      </c>
      <c r="C9" s="1">
        <v>432078.1</v>
      </c>
    </row>
    <row r="10" spans="1:3" ht="46.5">
      <c r="A10" s="3" t="s">
        <v>10</v>
      </c>
      <c r="B10" s="4">
        <f t="shared" ref="B10:B28" si="0">C10/12</f>
        <v>17464.391666666666</v>
      </c>
      <c r="C10" s="1">
        <f>187298.9+22273.8</f>
        <v>209572.69999999998</v>
      </c>
    </row>
    <row r="11" spans="1:3" ht="15.5">
      <c r="A11" s="2" t="s">
        <v>11</v>
      </c>
      <c r="B11" s="4">
        <f t="shared" si="0"/>
        <v>53470.899999999994</v>
      </c>
      <c r="C11" s="2">
        <f>SUM(C9:C10)</f>
        <v>641650.79999999993</v>
      </c>
    </row>
    <row r="12" spans="1:3" ht="15.5">
      <c r="A12" s="2" t="s">
        <v>12</v>
      </c>
      <c r="B12" s="4">
        <f t="shared" si="0"/>
        <v>0</v>
      </c>
      <c r="C12" s="1"/>
    </row>
    <row r="13" spans="1:3" ht="77.5">
      <c r="A13" s="3" t="s">
        <v>13</v>
      </c>
      <c r="B13" s="4">
        <f t="shared" si="0"/>
        <v>14211.563333333334</v>
      </c>
      <c r="C13" s="1">
        <f>139644.7+30894.06</f>
        <v>170538.76</v>
      </c>
    </row>
    <row r="14" spans="1:3" ht="77.5">
      <c r="A14" s="3" t="s">
        <v>14</v>
      </c>
      <c r="B14" s="4">
        <f t="shared" si="0"/>
        <v>9520.7049999999999</v>
      </c>
      <c r="C14" s="1">
        <f>30902.9+83345.56</f>
        <v>114248.45999999999</v>
      </c>
    </row>
    <row r="15" spans="1:3" ht="46.5">
      <c r="A15" s="3" t="s">
        <v>15</v>
      </c>
      <c r="B15" s="4">
        <f t="shared" si="0"/>
        <v>0</v>
      </c>
      <c r="C15" s="1"/>
    </row>
    <row r="16" spans="1:3" ht="15.5">
      <c r="A16" s="1" t="s">
        <v>16</v>
      </c>
      <c r="B16" s="4">
        <f t="shared" si="0"/>
        <v>1954.0833333333333</v>
      </c>
      <c r="C16" s="1">
        <v>23449</v>
      </c>
    </row>
    <row r="17" spans="1:3" ht="15.5">
      <c r="A17" s="1" t="s">
        <v>17</v>
      </c>
      <c r="B17" s="4">
        <f t="shared" si="0"/>
        <v>2017.29</v>
      </c>
      <c r="C17" s="1">
        <v>24207.48</v>
      </c>
    </row>
    <row r="18" spans="1:3" ht="15.5">
      <c r="A18" s="1" t="s">
        <v>18</v>
      </c>
      <c r="B18" s="4">
        <f t="shared" si="0"/>
        <v>32.5</v>
      </c>
      <c r="C18" s="1">
        <v>390</v>
      </c>
    </row>
    <row r="19" spans="1:3" ht="15.5">
      <c r="A19" s="1" t="s">
        <v>19</v>
      </c>
      <c r="B19" s="4">
        <f t="shared" si="0"/>
        <v>0</v>
      </c>
      <c r="C19" s="1"/>
    </row>
    <row r="20" spans="1:3" ht="15.5">
      <c r="A20" s="1" t="s">
        <v>20</v>
      </c>
      <c r="B20" s="4">
        <f t="shared" si="0"/>
        <v>752.30499999999995</v>
      </c>
      <c r="C20" s="1">
        <v>9027.66</v>
      </c>
    </row>
    <row r="21" spans="1:3" ht="15.5">
      <c r="A21" s="1" t="s">
        <v>21</v>
      </c>
      <c r="B21" s="4">
        <f t="shared" si="0"/>
        <v>1157.4475</v>
      </c>
      <c r="C21" s="1">
        <v>13889.37</v>
      </c>
    </row>
    <row r="22" spans="1:3" ht="15.5">
      <c r="A22" s="1" t="s">
        <v>22</v>
      </c>
      <c r="B22" s="4">
        <f t="shared" si="0"/>
        <v>5032.2466666666669</v>
      </c>
      <c r="C22" s="1">
        <v>60386.96</v>
      </c>
    </row>
    <row r="23" spans="1:3" ht="15.5">
      <c r="A23" s="1" t="s">
        <v>23</v>
      </c>
      <c r="B23" s="4">
        <f t="shared" si="0"/>
        <v>110.86500000000001</v>
      </c>
      <c r="C23" s="1">
        <v>1330.38</v>
      </c>
    </row>
    <row r="24" spans="1:3" ht="15.5">
      <c r="A24" s="1" t="s">
        <v>24</v>
      </c>
      <c r="B24" s="4">
        <f t="shared" si="0"/>
        <v>3179.8333333333335</v>
      </c>
      <c r="C24" s="1">
        <v>38158</v>
      </c>
    </row>
    <row r="25" spans="1:3" ht="15.5">
      <c r="A25" s="1" t="s">
        <v>25</v>
      </c>
      <c r="B25" s="4">
        <f t="shared" si="0"/>
        <v>206.42499999999998</v>
      </c>
      <c r="C25" s="1">
        <v>2477.1</v>
      </c>
    </row>
    <row r="26" spans="1:3" ht="15.5">
      <c r="A26" s="1" t="s">
        <v>26</v>
      </c>
      <c r="B26" s="4">
        <f t="shared" si="0"/>
        <v>0</v>
      </c>
      <c r="C26" s="1"/>
    </row>
    <row r="27" spans="1:3" ht="15.5">
      <c r="A27" s="1" t="s">
        <v>27</v>
      </c>
      <c r="B27" s="4">
        <f t="shared" si="0"/>
        <v>11443.311666666666</v>
      </c>
      <c r="C27" s="1">
        <v>137319.74</v>
      </c>
    </row>
    <row r="28" spans="1:3" ht="23.5" customHeight="1">
      <c r="A28" s="2" t="s">
        <v>28</v>
      </c>
      <c r="B28" s="4">
        <f t="shared" si="0"/>
        <v>49618.575833333329</v>
      </c>
      <c r="C28" s="2">
        <f>SUM(C13:C27)</f>
        <v>595422.90999999992</v>
      </c>
    </row>
    <row r="29" spans="1:3" ht="19" customHeight="1">
      <c r="A29" s="2" t="s">
        <v>29</v>
      </c>
      <c r="B29" s="1"/>
      <c r="C29" s="2">
        <v>15357.09</v>
      </c>
    </row>
    <row r="30" spans="1:3" ht="24.5" customHeight="1">
      <c r="A30" s="2" t="s">
        <v>30</v>
      </c>
      <c r="B30" s="1"/>
      <c r="C30" s="2"/>
    </row>
    <row r="31" spans="1:3" ht="47.5" customHeight="1">
      <c r="A31" s="3" t="s">
        <v>31</v>
      </c>
      <c r="B31" s="1"/>
      <c r="C31" s="1">
        <v>260526.66</v>
      </c>
    </row>
    <row r="32" spans="1:3" ht="62" hidden="1">
      <c r="A32" s="3" t="s">
        <v>32</v>
      </c>
      <c r="B32" s="1"/>
      <c r="C32" s="1"/>
    </row>
    <row r="33" spans="1:3" ht="33" customHeight="1">
      <c r="A33" s="2" t="s">
        <v>33</v>
      </c>
      <c r="B33" s="2"/>
      <c r="C33" s="2">
        <v>-245169.57</v>
      </c>
    </row>
    <row r="34" spans="1:3" ht="36.5" customHeight="1">
      <c r="A34" s="1" t="s">
        <v>34</v>
      </c>
      <c r="B34" s="1"/>
      <c r="C34" s="1"/>
    </row>
    <row r="35" spans="1:3" ht="30" customHeight="1">
      <c r="A35" s="1" t="s">
        <v>35</v>
      </c>
      <c r="B35" s="1"/>
      <c r="C35" s="1"/>
    </row>
    <row r="36" spans="1:3" ht="37" customHeight="1">
      <c r="A36" s="1" t="s">
        <v>64</v>
      </c>
      <c r="B36" s="1"/>
      <c r="C36" s="1"/>
    </row>
    <row r="37" spans="1:3" ht="28" customHeight="1">
      <c r="A37" s="1" t="s">
        <v>36</v>
      </c>
      <c r="B37" s="1"/>
      <c r="C37" s="1"/>
    </row>
  </sheetData>
  <pageMargins left="0.7" right="0.7" top="0.75" bottom="0.75" header="0.3" footer="0.3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37"/>
  <sheetViews>
    <sheetView topLeftCell="A21" workbookViewId="0">
      <selection activeCell="C34" sqref="C34"/>
    </sheetView>
  </sheetViews>
  <sheetFormatPr defaultRowHeight="14.5"/>
  <cols>
    <col min="1" max="1" width="47" customWidth="1"/>
    <col min="2" max="2" width="20.26953125" customWidth="1"/>
    <col min="3" max="3" width="13.1796875" customWidth="1"/>
  </cols>
  <sheetData>
    <row r="1" spans="1:3" ht="15.5">
      <c r="A1" s="1" t="s">
        <v>0</v>
      </c>
      <c r="B1" s="1"/>
      <c r="C1" s="1"/>
    </row>
    <row r="2" spans="1:3" ht="15.5">
      <c r="A2" s="1" t="s">
        <v>67</v>
      </c>
      <c r="B2" s="1" t="s">
        <v>66</v>
      </c>
      <c r="C2" s="1"/>
    </row>
    <row r="3" spans="1:3" ht="15.5">
      <c r="A3" s="1" t="s">
        <v>3</v>
      </c>
      <c r="B3" s="1"/>
      <c r="C3" s="1"/>
    </row>
    <row r="4" spans="1:3" ht="15.5">
      <c r="A4" s="1" t="s">
        <v>4</v>
      </c>
      <c r="B4" s="1"/>
      <c r="C4" s="1"/>
    </row>
    <row r="5" spans="1:3" ht="15.5">
      <c r="A5" s="1" t="s">
        <v>116</v>
      </c>
      <c r="B5" s="1"/>
      <c r="C5" s="1"/>
    </row>
    <row r="6" spans="1:3" ht="15.5">
      <c r="A6" s="1"/>
      <c r="B6" s="1"/>
      <c r="C6" s="1"/>
    </row>
    <row r="7" spans="1:3" ht="15.5">
      <c r="A7" s="1" t="s">
        <v>5</v>
      </c>
      <c r="B7" s="1" t="s">
        <v>6</v>
      </c>
      <c r="C7" s="1" t="s">
        <v>7</v>
      </c>
    </row>
    <row r="8" spans="1:3" ht="15.5">
      <c r="A8" s="2" t="s">
        <v>8</v>
      </c>
      <c r="B8" s="1"/>
      <c r="C8" s="2">
        <v>-171323.51999999999</v>
      </c>
    </row>
    <row r="9" spans="1:3" ht="33" customHeight="1">
      <c r="A9" s="3" t="s">
        <v>9</v>
      </c>
      <c r="B9" s="4">
        <f>C9/12</f>
        <v>72584.25</v>
      </c>
      <c r="C9" s="1">
        <v>871011</v>
      </c>
    </row>
    <row r="10" spans="1:3" ht="46" customHeight="1">
      <c r="A10" s="3" t="s">
        <v>10</v>
      </c>
      <c r="B10" s="4">
        <f t="shared" ref="B10:B28" si="0">C10/12</f>
        <v>3445.35</v>
      </c>
      <c r="C10" s="1">
        <v>41344.199999999997</v>
      </c>
    </row>
    <row r="11" spans="1:3" ht="18" customHeight="1">
      <c r="A11" s="2" t="s">
        <v>11</v>
      </c>
      <c r="B11" s="4">
        <f t="shared" si="0"/>
        <v>76029.599999999991</v>
      </c>
      <c r="C11" s="2">
        <f>SUM(C9:C10)</f>
        <v>912355.2</v>
      </c>
    </row>
    <row r="12" spans="1:3" ht="15.5" customHeight="1">
      <c r="A12" s="2" t="s">
        <v>12</v>
      </c>
      <c r="B12" s="4">
        <f t="shared" si="0"/>
        <v>0</v>
      </c>
      <c r="C12" s="1"/>
    </row>
    <row r="13" spans="1:3" ht="80" customHeight="1">
      <c r="A13" s="3" t="s">
        <v>13</v>
      </c>
      <c r="B13" s="4">
        <f t="shared" si="0"/>
        <v>15414.018333333333</v>
      </c>
      <c r="C13" s="1">
        <f>151460.1+33508.12</f>
        <v>184968.22</v>
      </c>
    </row>
    <row r="14" spans="1:3" ht="77.5">
      <c r="A14" s="3" t="s">
        <v>14</v>
      </c>
      <c r="B14" s="4">
        <f t="shared" si="0"/>
        <v>13725.54</v>
      </c>
      <c r="C14" s="1">
        <f>72358.52+92347.96</f>
        <v>164706.48000000001</v>
      </c>
    </row>
    <row r="15" spans="1:3" ht="46.5" customHeight="1">
      <c r="A15" s="3" t="s">
        <v>15</v>
      </c>
      <c r="B15" s="4">
        <f t="shared" si="0"/>
        <v>6099.48</v>
      </c>
      <c r="C15" s="1">
        <v>73193.759999999995</v>
      </c>
    </row>
    <row r="16" spans="1:3" ht="15.5">
      <c r="A16" s="1" t="s">
        <v>16</v>
      </c>
      <c r="B16" s="4">
        <f t="shared" si="0"/>
        <v>2864.9166666666665</v>
      </c>
      <c r="C16" s="1">
        <v>34379</v>
      </c>
    </row>
    <row r="17" spans="1:3" ht="15.5">
      <c r="A17" s="1" t="s">
        <v>17</v>
      </c>
      <c r="B17" s="4">
        <f t="shared" si="0"/>
        <v>2015.83</v>
      </c>
      <c r="C17" s="1">
        <v>24189.96</v>
      </c>
    </row>
    <row r="18" spans="1:3" ht="15.5">
      <c r="A18" s="1" t="s">
        <v>18</v>
      </c>
      <c r="B18" s="4">
        <f t="shared" si="0"/>
        <v>108.05</v>
      </c>
      <c r="C18" s="1">
        <v>1296.5999999999999</v>
      </c>
    </row>
    <row r="19" spans="1:3" ht="15.5">
      <c r="A19" s="1" t="s">
        <v>19</v>
      </c>
      <c r="B19" s="4">
        <f t="shared" si="0"/>
        <v>10884.646666666666</v>
      </c>
      <c r="C19" s="1">
        <v>130615.76</v>
      </c>
    </row>
    <row r="20" spans="1:3" ht="15.5">
      <c r="A20" s="1" t="s">
        <v>20</v>
      </c>
      <c r="B20" s="4">
        <f t="shared" si="0"/>
        <v>858.09749999999997</v>
      </c>
      <c r="C20" s="1">
        <v>10297.17</v>
      </c>
    </row>
    <row r="21" spans="1:3" ht="15.5">
      <c r="A21" s="1" t="s">
        <v>21</v>
      </c>
      <c r="B21" s="4">
        <f t="shared" si="0"/>
        <v>1654.4783333333335</v>
      </c>
      <c r="C21" s="1">
        <v>19853.740000000002</v>
      </c>
    </row>
    <row r="22" spans="1:3" ht="15.5">
      <c r="A22" s="1" t="s">
        <v>22</v>
      </c>
      <c r="B22" s="4">
        <f t="shared" si="0"/>
        <v>5031.2091666666665</v>
      </c>
      <c r="C22" s="1">
        <v>60374.51</v>
      </c>
    </row>
    <row r="23" spans="1:3" ht="15.5">
      <c r="A23" s="1" t="s">
        <v>23</v>
      </c>
      <c r="B23" s="4">
        <f t="shared" si="0"/>
        <v>46.56583333333333</v>
      </c>
      <c r="C23" s="1">
        <v>558.79</v>
      </c>
    </row>
    <row r="24" spans="1:3" ht="15.5">
      <c r="A24" s="1" t="s">
        <v>24</v>
      </c>
      <c r="B24" s="4">
        <f t="shared" si="0"/>
        <v>4521.3641666666672</v>
      </c>
      <c r="C24" s="1">
        <v>54256.37</v>
      </c>
    </row>
    <row r="25" spans="1:3" ht="15.5">
      <c r="A25" s="1" t="s">
        <v>25</v>
      </c>
      <c r="B25" s="4">
        <f t="shared" si="0"/>
        <v>133.88916666666668</v>
      </c>
      <c r="C25" s="1">
        <v>1606.67</v>
      </c>
    </row>
    <row r="26" spans="1:3" ht="15.5">
      <c r="A26" s="1" t="s">
        <v>26</v>
      </c>
      <c r="B26" s="4">
        <f t="shared" si="0"/>
        <v>0</v>
      </c>
      <c r="C26" s="1"/>
    </row>
    <row r="27" spans="1:3" ht="15.5">
      <c r="A27" s="1" t="s">
        <v>27</v>
      </c>
      <c r="B27" s="4">
        <f t="shared" si="0"/>
        <v>11440.951666666668</v>
      </c>
      <c r="C27" s="1">
        <v>137291.42000000001</v>
      </c>
    </row>
    <row r="28" spans="1:3" ht="15.5">
      <c r="A28" s="2" t="s">
        <v>28</v>
      </c>
      <c r="B28" s="4">
        <f t="shared" si="0"/>
        <v>74799.03750000002</v>
      </c>
      <c r="C28" s="2">
        <f>SUM(C13:C27)</f>
        <v>897588.45000000019</v>
      </c>
    </row>
    <row r="29" spans="1:3" ht="23.5" customHeight="1">
      <c r="A29" s="2" t="s">
        <v>29</v>
      </c>
      <c r="B29" s="1"/>
      <c r="C29" s="2"/>
    </row>
    <row r="30" spans="1:3" ht="23.5" customHeight="1">
      <c r="A30" s="2" t="s">
        <v>30</v>
      </c>
      <c r="B30" s="1"/>
      <c r="C30" s="2">
        <v>156556.76999999999</v>
      </c>
    </row>
    <row r="31" spans="1:3" ht="42.5" customHeight="1">
      <c r="A31" s="3" t="s">
        <v>31</v>
      </c>
      <c r="B31" s="1"/>
      <c r="C31" s="1">
        <v>231108.67</v>
      </c>
    </row>
    <row r="32" spans="1:3" ht="1.5" customHeight="1">
      <c r="A32" s="3" t="s">
        <v>32</v>
      </c>
      <c r="B32" s="1"/>
      <c r="C32" s="1"/>
    </row>
    <row r="33" spans="1:3" ht="28" customHeight="1">
      <c r="A33" s="2" t="s">
        <v>33</v>
      </c>
      <c r="B33" s="2"/>
      <c r="C33" s="2">
        <v>-387665.44</v>
      </c>
    </row>
    <row r="34" spans="1:3" ht="48.5" customHeight="1">
      <c r="A34" s="1" t="s">
        <v>34</v>
      </c>
      <c r="B34" s="1"/>
      <c r="C34" s="1"/>
    </row>
    <row r="35" spans="1:3" ht="46" customHeight="1">
      <c r="A35" s="1" t="s">
        <v>35</v>
      </c>
      <c r="B35" s="1"/>
      <c r="C35" s="1"/>
    </row>
    <row r="36" spans="1:3" ht="36.5" customHeight="1">
      <c r="A36" s="1" t="s">
        <v>64</v>
      </c>
      <c r="B36" s="1"/>
      <c r="C36" s="1"/>
    </row>
    <row r="37" spans="1:3" ht="38.5" customHeight="1">
      <c r="A37" s="1" t="s">
        <v>36</v>
      </c>
      <c r="B37" s="1"/>
      <c r="C37" s="1"/>
    </row>
  </sheetData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37"/>
  <sheetViews>
    <sheetView workbookViewId="0">
      <selection activeCell="C34" sqref="C34"/>
    </sheetView>
  </sheetViews>
  <sheetFormatPr defaultRowHeight="14.5"/>
  <cols>
    <col min="1" max="1" width="45.54296875" customWidth="1"/>
    <col min="2" max="2" width="14.81640625" customWidth="1"/>
    <col min="3" max="3" width="14.90625" customWidth="1"/>
  </cols>
  <sheetData>
    <row r="1" spans="1:3" ht="15.5">
      <c r="A1" s="1" t="s">
        <v>0</v>
      </c>
      <c r="B1" s="1"/>
      <c r="C1" s="1"/>
    </row>
    <row r="2" spans="1:3" ht="15.5">
      <c r="A2" s="1" t="s">
        <v>68</v>
      </c>
      <c r="B2" s="1" t="s">
        <v>66</v>
      </c>
      <c r="C2" s="1"/>
    </row>
    <row r="3" spans="1:3" ht="15.5">
      <c r="A3" s="1" t="s">
        <v>3</v>
      </c>
      <c r="B3" s="1"/>
      <c r="C3" s="1"/>
    </row>
    <row r="4" spans="1:3" ht="15.5">
      <c r="A4" s="1" t="s">
        <v>4</v>
      </c>
      <c r="B4" s="1"/>
      <c r="C4" s="1"/>
    </row>
    <row r="5" spans="1:3" ht="15.5">
      <c r="A5" s="1" t="s">
        <v>116</v>
      </c>
      <c r="B5" s="1"/>
      <c r="C5" s="1"/>
    </row>
    <row r="6" spans="1:3" ht="15.5">
      <c r="A6" s="1"/>
      <c r="B6" s="1"/>
      <c r="C6" s="1"/>
    </row>
    <row r="7" spans="1:3" ht="15.5">
      <c r="A7" s="1" t="s">
        <v>5</v>
      </c>
      <c r="B7" s="1" t="s">
        <v>6</v>
      </c>
      <c r="C7" s="1" t="s">
        <v>7</v>
      </c>
    </row>
    <row r="8" spans="1:3" ht="15.5">
      <c r="A8" s="2" t="s">
        <v>8</v>
      </c>
      <c r="B8" s="1"/>
      <c r="C8" s="2">
        <v>-128355.5</v>
      </c>
    </row>
    <row r="9" spans="1:3" ht="48" customHeight="1">
      <c r="A9" s="3" t="s">
        <v>9</v>
      </c>
      <c r="B9" s="4">
        <f>C9/12</f>
        <v>50487.525000000001</v>
      </c>
      <c r="C9" s="1">
        <v>605850.30000000005</v>
      </c>
    </row>
    <row r="10" spans="1:3" ht="45" customHeight="1">
      <c r="A10" s="3" t="s">
        <v>10</v>
      </c>
      <c r="B10" s="4">
        <f t="shared" ref="B10:B28" si="0">C10/12</f>
        <v>2221.15</v>
      </c>
      <c r="C10" s="1">
        <v>26653.8</v>
      </c>
    </row>
    <row r="11" spans="1:3" ht="17.5" customHeight="1">
      <c r="A11" s="2" t="s">
        <v>11</v>
      </c>
      <c r="B11" s="4">
        <f t="shared" si="0"/>
        <v>52708.67500000001</v>
      </c>
      <c r="C11" s="2">
        <f>SUM(C9:C10)</f>
        <v>632504.10000000009</v>
      </c>
    </row>
    <row r="12" spans="1:3" ht="20.5" customHeight="1">
      <c r="A12" s="2" t="s">
        <v>12</v>
      </c>
      <c r="B12" s="4">
        <f t="shared" si="0"/>
        <v>0</v>
      </c>
      <c r="C12" s="1"/>
    </row>
    <row r="13" spans="1:3" ht="78.5" customHeight="1">
      <c r="A13" s="3" t="s">
        <v>13</v>
      </c>
      <c r="B13" s="4">
        <f t="shared" si="0"/>
        <v>13679.991666666667</v>
      </c>
      <c r="C13" s="1">
        <f>134421.4+29738.5</f>
        <v>164159.9</v>
      </c>
    </row>
    <row r="14" spans="1:3" ht="77.5">
      <c r="A14" s="3" t="s">
        <v>14</v>
      </c>
      <c r="B14" s="4">
        <f t="shared" si="0"/>
        <v>14455.716666666667</v>
      </c>
      <c r="C14" s="1">
        <f>64839.4+108629.2</f>
        <v>173468.6</v>
      </c>
    </row>
    <row r="15" spans="1:3" ht="50" customHeight="1">
      <c r="A15" s="3" t="s">
        <v>15</v>
      </c>
      <c r="B15" s="4">
        <f t="shared" si="0"/>
        <v>0</v>
      </c>
      <c r="C15" s="1"/>
    </row>
    <row r="16" spans="1:3" ht="15.5">
      <c r="A16" s="1" t="s">
        <v>16</v>
      </c>
      <c r="B16" s="4">
        <f t="shared" si="0"/>
        <v>1961.9166666666667</v>
      </c>
      <c r="C16" s="1">
        <v>23543</v>
      </c>
    </row>
    <row r="17" spans="1:3" ht="15.5">
      <c r="A17" s="1" t="s">
        <v>17</v>
      </c>
      <c r="B17" s="4">
        <f t="shared" si="0"/>
        <v>1787.29</v>
      </c>
      <c r="C17" s="1">
        <v>21447.48</v>
      </c>
    </row>
    <row r="18" spans="1:3" ht="15.5">
      <c r="A18" s="1" t="s">
        <v>18</v>
      </c>
      <c r="B18" s="4">
        <f t="shared" si="0"/>
        <v>222.72</v>
      </c>
      <c r="C18" s="1">
        <v>2672.64</v>
      </c>
    </row>
    <row r="19" spans="1:3" ht="15.5">
      <c r="A19" s="1" t="s">
        <v>19</v>
      </c>
      <c r="B19" s="4">
        <f t="shared" si="0"/>
        <v>0</v>
      </c>
      <c r="C19" s="1"/>
    </row>
    <row r="20" spans="1:3" ht="15.5">
      <c r="A20" s="1" t="s">
        <v>20</v>
      </c>
      <c r="B20" s="4">
        <f t="shared" si="0"/>
        <v>881.60750000000007</v>
      </c>
      <c r="C20" s="1">
        <v>10579.29</v>
      </c>
    </row>
    <row r="21" spans="1:3" ht="15.5">
      <c r="A21" s="1" t="s">
        <v>21</v>
      </c>
      <c r="B21" s="4">
        <f t="shared" si="0"/>
        <v>1140.7391666666667</v>
      </c>
      <c r="C21" s="1">
        <v>13688.87</v>
      </c>
    </row>
    <row r="22" spans="1:3" ht="15.5">
      <c r="A22" s="1" t="s">
        <v>22</v>
      </c>
      <c r="B22" s="4">
        <f t="shared" si="0"/>
        <v>4458.3924999999999</v>
      </c>
      <c r="C22" s="1">
        <v>53500.71</v>
      </c>
    </row>
    <row r="23" spans="1:3" ht="15.5">
      <c r="A23" s="1" t="s">
        <v>23</v>
      </c>
      <c r="B23" s="4">
        <f t="shared" si="0"/>
        <v>48.783333333333331</v>
      </c>
      <c r="C23" s="1">
        <v>585.4</v>
      </c>
    </row>
    <row r="24" spans="1:3" ht="15.5">
      <c r="A24" s="1" t="s">
        <v>24</v>
      </c>
      <c r="B24" s="4">
        <f t="shared" si="0"/>
        <v>3134.5049999999997</v>
      </c>
      <c r="C24" s="1">
        <v>37614.06</v>
      </c>
    </row>
    <row r="25" spans="1:3" ht="15.5">
      <c r="A25" s="1" t="s">
        <v>25</v>
      </c>
      <c r="B25" s="4">
        <f t="shared" si="0"/>
        <v>252.65333333333334</v>
      </c>
      <c r="C25" s="1">
        <v>3031.84</v>
      </c>
    </row>
    <row r="26" spans="1:3" ht="15.5">
      <c r="A26" s="1" t="s">
        <v>26</v>
      </c>
      <c r="B26" s="4">
        <f t="shared" si="0"/>
        <v>0</v>
      </c>
      <c r="C26" s="1"/>
    </row>
    <row r="27" spans="1:3" ht="15.5">
      <c r="A27" s="1" t="s">
        <v>27</v>
      </c>
      <c r="B27" s="4">
        <f t="shared" si="0"/>
        <v>10138.370000000001</v>
      </c>
      <c r="C27" s="1">
        <v>121660.44</v>
      </c>
    </row>
    <row r="28" spans="1:3" ht="15.5">
      <c r="A28" s="2" t="s">
        <v>28</v>
      </c>
      <c r="B28" s="4">
        <f t="shared" si="0"/>
        <v>52162.685833333329</v>
      </c>
      <c r="C28" s="2">
        <f>SUM(C13:C27)</f>
        <v>625952.23</v>
      </c>
    </row>
    <row r="29" spans="1:3" ht="21.5" customHeight="1">
      <c r="A29" s="2" t="s">
        <v>29</v>
      </c>
      <c r="B29" s="1"/>
      <c r="C29" s="2"/>
    </row>
    <row r="30" spans="1:3" ht="23" customHeight="1">
      <c r="A30" s="2" t="s">
        <v>30</v>
      </c>
      <c r="B30" s="1"/>
      <c r="C30" s="2">
        <v>121803.63</v>
      </c>
    </row>
    <row r="31" spans="1:3" ht="31">
      <c r="A31" s="3" t="s">
        <v>31</v>
      </c>
      <c r="B31" s="1"/>
      <c r="C31" s="1">
        <v>78272.58</v>
      </c>
    </row>
    <row r="32" spans="1:3" ht="0.5" customHeight="1">
      <c r="A32" s="3" t="s">
        <v>32</v>
      </c>
      <c r="B32" s="1"/>
      <c r="C32" s="1"/>
    </row>
    <row r="33" spans="1:3" ht="27" customHeight="1">
      <c r="A33" s="2" t="s">
        <v>33</v>
      </c>
      <c r="B33" s="2"/>
      <c r="C33" s="2">
        <v>-200076.21</v>
      </c>
    </row>
    <row r="34" spans="1:3" ht="32" customHeight="1">
      <c r="A34" s="1" t="s">
        <v>34</v>
      </c>
      <c r="B34" s="1"/>
      <c r="C34" s="1"/>
    </row>
    <row r="35" spans="1:3" ht="34.5" customHeight="1">
      <c r="A35" s="1" t="s">
        <v>35</v>
      </c>
      <c r="B35" s="1"/>
      <c r="C35" s="1"/>
    </row>
    <row r="36" spans="1:3" ht="25" customHeight="1">
      <c r="A36" s="1" t="s">
        <v>64</v>
      </c>
      <c r="B36" s="1"/>
      <c r="C36" s="1"/>
    </row>
    <row r="37" spans="1:3" ht="28.5" customHeight="1">
      <c r="A37" s="1" t="s">
        <v>36</v>
      </c>
      <c r="B37" s="1"/>
      <c r="C37" s="1"/>
    </row>
  </sheetData>
  <pageMargins left="0.7" right="0.7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37"/>
  <sheetViews>
    <sheetView topLeftCell="A2" workbookViewId="0">
      <selection activeCell="C34" sqref="C34"/>
    </sheetView>
  </sheetViews>
  <sheetFormatPr defaultRowHeight="14.5"/>
  <cols>
    <col min="1" max="1" width="44.54296875" customWidth="1"/>
    <col min="2" max="2" width="17.81640625" customWidth="1"/>
    <col min="3" max="3" width="17.90625" customWidth="1"/>
  </cols>
  <sheetData>
    <row r="1" spans="1:3" ht="15.5">
      <c r="A1" s="1" t="s">
        <v>0</v>
      </c>
      <c r="B1" s="1"/>
      <c r="C1" s="1"/>
    </row>
    <row r="2" spans="1:3" ht="15.5">
      <c r="A2" s="1" t="s">
        <v>69</v>
      </c>
      <c r="B2" s="1" t="s">
        <v>66</v>
      </c>
      <c r="C2" s="1"/>
    </row>
    <row r="3" spans="1:3" ht="15.5">
      <c r="A3" s="1" t="s">
        <v>3</v>
      </c>
      <c r="B3" s="1"/>
      <c r="C3" s="1"/>
    </row>
    <row r="4" spans="1:3" ht="15.5">
      <c r="A4" s="1" t="s">
        <v>4</v>
      </c>
      <c r="B4" s="1"/>
      <c r="C4" s="1"/>
    </row>
    <row r="5" spans="1:3" ht="15.5">
      <c r="A5" s="1" t="s">
        <v>116</v>
      </c>
      <c r="B5" s="1"/>
      <c r="C5" s="1"/>
    </row>
    <row r="6" spans="1:3" ht="15.5">
      <c r="A6" s="1"/>
      <c r="B6" s="1"/>
      <c r="C6" s="1"/>
    </row>
    <row r="7" spans="1:3" ht="15.5">
      <c r="A7" s="1" t="s">
        <v>5</v>
      </c>
      <c r="B7" s="1" t="s">
        <v>6</v>
      </c>
      <c r="C7" s="1" t="s">
        <v>7</v>
      </c>
    </row>
    <row r="8" spans="1:3" ht="15.5">
      <c r="A8" s="2" t="s">
        <v>8</v>
      </c>
      <c r="B8" s="1"/>
      <c r="C8" s="2">
        <v>-136948.60999999999</v>
      </c>
    </row>
    <row r="9" spans="1:3" ht="43" customHeight="1">
      <c r="A9" s="3" t="s">
        <v>9</v>
      </c>
      <c r="B9" s="4">
        <f>C9/12</f>
        <v>48459.383333333331</v>
      </c>
      <c r="C9" s="1">
        <v>581512.6</v>
      </c>
    </row>
    <row r="10" spans="1:3" ht="48.5" customHeight="1">
      <c r="A10" s="3" t="s">
        <v>10</v>
      </c>
      <c r="B10" s="4">
        <f t="shared" ref="B10:B28" si="0">C10/12</f>
        <v>3031.8883333333338</v>
      </c>
      <c r="C10" s="1">
        <f>9728.86+26653.8</f>
        <v>36382.660000000003</v>
      </c>
    </row>
    <row r="11" spans="1:3" ht="16" customHeight="1">
      <c r="A11" s="2" t="s">
        <v>11</v>
      </c>
      <c r="B11" s="4">
        <f t="shared" si="0"/>
        <v>51491.271666666667</v>
      </c>
      <c r="C11" s="2">
        <f>SUM(C9:C10)</f>
        <v>617895.26</v>
      </c>
    </row>
    <row r="12" spans="1:3" ht="18.5" customHeight="1">
      <c r="A12" s="2" t="s">
        <v>12</v>
      </c>
      <c r="B12" s="4">
        <f t="shared" si="0"/>
        <v>0</v>
      </c>
      <c r="C12" s="1"/>
    </row>
    <row r="13" spans="1:3" ht="80" customHeight="1">
      <c r="A13" s="3" t="s">
        <v>13</v>
      </c>
      <c r="B13" s="4">
        <f t="shared" si="0"/>
        <v>13785.76</v>
      </c>
      <c r="C13" s="1">
        <f>135460.7+29968.42</f>
        <v>165429.12</v>
      </c>
    </row>
    <row r="14" spans="1:3" ht="77.5">
      <c r="A14" s="3" t="s">
        <v>14</v>
      </c>
      <c r="B14" s="4">
        <f t="shared" si="0"/>
        <v>18179.931666666667</v>
      </c>
      <c r="C14" s="1">
        <f>71343.34+146815.84</f>
        <v>218159.18</v>
      </c>
    </row>
    <row r="15" spans="1:3" ht="62">
      <c r="A15" s="3" t="s">
        <v>15</v>
      </c>
      <c r="B15" s="4">
        <f t="shared" si="0"/>
        <v>0</v>
      </c>
      <c r="C15" s="1"/>
    </row>
    <row r="16" spans="1:3" ht="15.5">
      <c r="A16" s="1" t="s">
        <v>16</v>
      </c>
      <c r="B16" s="4">
        <f t="shared" si="0"/>
        <v>1599.75</v>
      </c>
      <c r="C16" s="1">
        <v>19197</v>
      </c>
    </row>
    <row r="17" spans="1:3" ht="15.5">
      <c r="A17" s="1" t="s">
        <v>17</v>
      </c>
      <c r="B17" s="4">
        <f t="shared" si="0"/>
        <v>1774.3</v>
      </c>
      <c r="C17" s="1">
        <v>21291.599999999999</v>
      </c>
    </row>
    <row r="18" spans="1:3" ht="15.5">
      <c r="A18" s="1" t="s">
        <v>18</v>
      </c>
      <c r="B18" s="4">
        <f t="shared" si="0"/>
        <v>225.62</v>
      </c>
      <c r="C18" s="1">
        <v>2707.44</v>
      </c>
    </row>
    <row r="19" spans="1:3" ht="15.5">
      <c r="A19" s="1" t="s">
        <v>19</v>
      </c>
      <c r="B19" s="4">
        <f t="shared" si="0"/>
        <v>0</v>
      </c>
      <c r="C19" s="1"/>
    </row>
    <row r="20" spans="1:3" ht="15.5">
      <c r="A20" s="1" t="s">
        <v>20</v>
      </c>
      <c r="B20" s="4">
        <f t="shared" si="0"/>
        <v>811.07833333333338</v>
      </c>
      <c r="C20" s="1">
        <v>9732.94</v>
      </c>
    </row>
    <row r="21" spans="1:3" ht="15.5">
      <c r="A21" s="1" t="s">
        <v>21</v>
      </c>
      <c r="B21" s="4">
        <f t="shared" si="0"/>
        <v>1118.1533333333334</v>
      </c>
      <c r="C21" s="1">
        <v>13417.84</v>
      </c>
    </row>
    <row r="22" spans="1:3" ht="15.5">
      <c r="A22" s="1" t="s">
        <v>22</v>
      </c>
      <c r="B22" s="4">
        <f t="shared" si="0"/>
        <v>4426.8983333333335</v>
      </c>
      <c r="C22" s="1">
        <v>53122.78</v>
      </c>
    </row>
    <row r="23" spans="1:3" ht="15.5">
      <c r="A23" s="1" t="s">
        <v>23</v>
      </c>
      <c r="B23" s="4">
        <f t="shared" si="0"/>
        <v>44.800000000000004</v>
      </c>
      <c r="C23" s="1">
        <v>537.6</v>
      </c>
    </row>
    <row r="24" spans="1:3" ht="15.5">
      <c r="A24" s="1" t="s">
        <v>24</v>
      </c>
      <c r="B24" s="4">
        <f t="shared" si="0"/>
        <v>3062.1075000000001</v>
      </c>
      <c r="C24" s="1">
        <v>36745.29</v>
      </c>
    </row>
    <row r="25" spans="1:3" ht="15.5">
      <c r="A25" s="1" t="s">
        <v>25</v>
      </c>
      <c r="B25" s="4">
        <f t="shared" si="0"/>
        <v>219.78666666666666</v>
      </c>
      <c r="C25" s="1">
        <v>2637.44</v>
      </c>
    </row>
    <row r="26" spans="1:3" ht="15.5">
      <c r="A26" s="1" t="s">
        <v>26</v>
      </c>
      <c r="B26" s="4">
        <f t="shared" si="0"/>
        <v>1966.6666666666667</v>
      </c>
      <c r="C26" s="1">
        <v>23600</v>
      </c>
    </row>
    <row r="27" spans="1:3" ht="15.5">
      <c r="A27" s="1" t="s">
        <v>27</v>
      </c>
      <c r="B27" s="4">
        <f t="shared" si="0"/>
        <v>10066.751666666667</v>
      </c>
      <c r="C27" s="1">
        <v>120801.02</v>
      </c>
    </row>
    <row r="28" spans="1:3" ht="15.5">
      <c r="A28" s="2" t="s">
        <v>28</v>
      </c>
      <c r="B28" s="4">
        <f t="shared" si="0"/>
        <v>57281.604166666664</v>
      </c>
      <c r="C28" s="2">
        <f>SUM(C13:C27)</f>
        <v>687379.25</v>
      </c>
    </row>
    <row r="29" spans="1:3" ht="21.5" customHeight="1">
      <c r="A29" s="2" t="s">
        <v>29</v>
      </c>
      <c r="B29" s="1"/>
      <c r="C29" s="2"/>
    </row>
    <row r="30" spans="1:3" ht="26.5" customHeight="1">
      <c r="A30" s="2" t="s">
        <v>30</v>
      </c>
      <c r="B30" s="1"/>
      <c r="C30" s="2">
        <v>206432.6</v>
      </c>
    </row>
    <row r="31" spans="1:3" ht="40" customHeight="1">
      <c r="A31" s="3" t="s">
        <v>31</v>
      </c>
      <c r="B31" s="1"/>
      <c r="C31" s="1">
        <v>202276.48000000001</v>
      </c>
    </row>
    <row r="32" spans="1:3" ht="62" hidden="1">
      <c r="A32" s="3" t="s">
        <v>32</v>
      </c>
      <c r="B32" s="1"/>
      <c r="C32" s="1"/>
    </row>
    <row r="33" spans="1:3" ht="28.5" customHeight="1">
      <c r="A33" s="2" t="s">
        <v>33</v>
      </c>
      <c r="B33" s="2"/>
      <c r="C33" s="2">
        <v>-408709.08</v>
      </c>
    </row>
    <row r="34" spans="1:3" ht="38" customHeight="1">
      <c r="A34" s="1" t="s">
        <v>34</v>
      </c>
      <c r="B34" s="1"/>
      <c r="C34" s="1"/>
    </row>
    <row r="35" spans="1:3" ht="36" customHeight="1">
      <c r="A35" s="1" t="s">
        <v>35</v>
      </c>
      <c r="B35" s="1"/>
      <c r="C35" s="1"/>
    </row>
    <row r="36" spans="1:3" ht="22" customHeight="1">
      <c r="A36" s="1" t="s">
        <v>64</v>
      </c>
      <c r="B36" s="1"/>
      <c r="C36" s="1"/>
    </row>
    <row r="37" spans="1:3" ht="15.5">
      <c r="A37" s="1" t="s">
        <v>36</v>
      </c>
      <c r="B37" s="1"/>
      <c r="C37" s="1"/>
    </row>
  </sheetData>
  <pageMargins left="0.7" right="0.7" top="0.75" bottom="0.75" header="0.3" footer="0.3"/>
  <pageSetup paperSize="9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C37"/>
  <sheetViews>
    <sheetView topLeftCell="A21" workbookViewId="0">
      <selection activeCell="C34" sqref="C34"/>
    </sheetView>
  </sheetViews>
  <sheetFormatPr defaultRowHeight="14.5"/>
  <cols>
    <col min="1" max="1" width="44.1796875" customWidth="1"/>
    <col min="2" max="2" width="17.6328125" customWidth="1"/>
    <col min="3" max="3" width="17.7265625" customWidth="1"/>
  </cols>
  <sheetData>
    <row r="1" spans="1:3" ht="15.5">
      <c r="A1" s="1" t="s">
        <v>0</v>
      </c>
      <c r="B1" s="1"/>
      <c r="C1" s="1"/>
    </row>
    <row r="2" spans="1:3" ht="15.5">
      <c r="A2" s="1" t="s">
        <v>70</v>
      </c>
      <c r="B2" s="1" t="s">
        <v>66</v>
      </c>
      <c r="C2" s="1"/>
    </row>
    <row r="3" spans="1:3" ht="15.5">
      <c r="A3" s="1" t="s">
        <v>3</v>
      </c>
      <c r="B3" s="1"/>
      <c r="C3" s="1"/>
    </row>
    <row r="4" spans="1:3" ht="15.5">
      <c r="A4" s="1" t="s">
        <v>4</v>
      </c>
      <c r="B4" s="1"/>
      <c r="C4" s="1"/>
    </row>
    <row r="5" spans="1:3" ht="15.5">
      <c r="A5" s="1" t="s">
        <v>116</v>
      </c>
      <c r="B5" s="1"/>
      <c r="C5" s="1"/>
    </row>
    <row r="6" spans="1:3" ht="15.5">
      <c r="A6" s="1"/>
      <c r="B6" s="1"/>
      <c r="C6" s="1"/>
    </row>
    <row r="7" spans="1:3" ht="15.5">
      <c r="A7" s="1" t="s">
        <v>5</v>
      </c>
      <c r="B7" s="1" t="s">
        <v>6</v>
      </c>
      <c r="C7" s="1" t="s">
        <v>7</v>
      </c>
    </row>
    <row r="8" spans="1:3" ht="15.5">
      <c r="A8" s="2" t="s">
        <v>8</v>
      </c>
      <c r="B8" s="1"/>
      <c r="C8" s="2">
        <v>-170707.88</v>
      </c>
    </row>
    <row r="9" spans="1:3" ht="46" customHeight="1">
      <c r="A9" s="3" t="s">
        <v>9</v>
      </c>
      <c r="B9" s="4">
        <f>C9/12</f>
        <v>42585.450000000004</v>
      </c>
      <c r="C9" s="1">
        <v>511025.4</v>
      </c>
    </row>
    <row r="10" spans="1:3" ht="50.5" customHeight="1">
      <c r="A10" s="3" t="s">
        <v>10</v>
      </c>
      <c r="B10" s="4">
        <f t="shared" ref="B10:B28" si="0">C10/12</f>
        <v>2904.2525000000001</v>
      </c>
      <c r="C10" s="1">
        <f>20152.23+14698.8</f>
        <v>34851.03</v>
      </c>
    </row>
    <row r="11" spans="1:3" ht="15" customHeight="1">
      <c r="A11" s="2" t="s">
        <v>11</v>
      </c>
      <c r="B11" s="4">
        <f t="shared" si="0"/>
        <v>45489.702500000007</v>
      </c>
      <c r="C11" s="2">
        <f>SUM(C9:C10)</f>
        <v>545876.43000000005</v>
      </c>
    </row>
    <row r="12" spans="1:3" ht="12.5" customHeight="1">
      <c r="A12" s="2" t="s">
        <v>12</v>
      </c>
      <c r="B12" s="4">
        <f t="shared" si="0"/>
        <v>0</v>
      </c>
      <c r="C12" s="1"/>
    </row>
    <row r="13" spans="1:3" ht="77.5" customHeight="1">
      <c r="A13" s="3" t="s">
        <v>13</v>
      </c>
      <c r="B13" s="4">
        <f t="shared" si="0"/>
        <v>13484.735000000001</v>
      </c>
      <c r="C13" s="1">
        <f>132502.7+29314.12</f>
        <v>161816.82</v>
      </c>
    </row>
    <row r="14" spans="1:3" ht="77.5">
      <c r="A14" s="3" t="s">
        <v>14</v>
      </c>
      <c r="B14" s="4">
        <f t="shared" si="0"/>
        <v>13288.661666666667</v>
      </c>
      <c r="C14" s="1">
        <f>57650.7+101813.24</f>
        <v>159463.94</v>
      </c>
    </row>
    <row r="15" spans="1:3" ht="62">
      <c r="A15" s="3" t="s">
        <v>15</v>
      </c>
      <c r="B15" s="4">
        <f t="shared" si="0"/>
        <v>0</v>
      </c>
      <c r="C15" s="1"/>
    </row>
    <row r="16" spans="1:3" ht="15.5">
      <c r="A16" s="1" t="s">
        <v>16</v>
      </c>
      <c r="B16" s="4">
        <f t="shared" si="0"/>
        <v>2943</v>
      </c>
      <c r="C16" s="1">
        <v>35316</v>
      </c>
    </row>
    <row r="17" spans="1:3" ht="15.5">
      <c r="A17" s="1" t="s">
        <v>17</v>
      </c>
      <c r="B17" s="4">
        <f t="shared" si="0"/>
        <v>1771.17</v>
      </c>
      <c r="C17" s="1">
        <v>21254.04</v>
      </c>
    </row>
    <row r="18" spans="1:3" ht="15.5">
      <c r="A18" s="1" t="s">
        <v>18</v>
      </c>
      <c r="B18" s="4">
        <f t="shared" si="0"/>
        <v>172.1</v>
      </c>
      <c r="C18" s="1">
        <v>2065.1999999999998</v>
      </c>
    </row>
    <row r="19" spans="1:3" ht="15.5">
      <c r="A19" s="1" t="s">
        <v>19</v>
      </c>
      <c r="B19" s="4">
        <f t="shared" si="0"/>
        <v>0</v>
      </c>
      <c r="C19" s="1"/>
    </row>
    <row r="20" spans="1:3" ht="15.5">
      <c r="A20" s="1" t="s">
        <v>20</v>
      </c>
      <c r="B20" s="4">
        <f t="shared" si="0"/>
        <v>1857.2524999999998</v>
      </c>
      <c r="C20" s="1">
        <v>22287.03</v>
      </c>
    </row>
    <row r="21" spans="1:3" ht="15.5">
      <c r="A21" s="1" t="s">
        <v>21</v>
      </c>
      <c r="B21" s="4">
        <f t="shared" si="0"/>
        <v>984.66916666666668</v>
      </c>
      <c r="C21" s="1">
        <v>11816.03</v>
      </c>
    </row>
    <row r="22" spans="1:3" ht="15.5">
      <c r="A22" s="1" t="s">
        <v>22</v>
      </c>
      <c r="B22" s="4">
        <f t="shared" si="0"/>
        <v>4463.5816666666669</v>
      </c>
      <c r="C22" s="1">
        <v>53562.98</v>
      </c>
    </row>
    <row r="23" spans="1:3" ht="15.5">
      <c r="A23" s="1" t="s">
        <v>23</v>
      </c>
      <c r="B23" s="4">
        <f t="shared" si="0"/>
        <v>0</v>
      </c>
      <c r="C23" s="1"/>
    </row>
    <row r="24" spans="1:3" ht="15.5">
      <c r="A24" s="1" t="s">
        <v>24</v>
      </c>
      <c r="B24" s="4">
        <f t="shared" si="0"/>
        <v>2705.2033333333334</v>
      </c>
      <c r="C24" s="1">
        <v>32462.44</v>
      </c>
    </row>
    <row r="25" spans="1:3" ht="15.5">
      <c r="A25" s="1" t="s">
        <v>25</v>
      </c>
      <c r="B25" s="4">
        <f t="shared" si="0"/>
        <v>0</v>
      </c>
      <c r="C25" s="1"/>
    </row>
    <row r="26" spans="1:3" ht="15.5">
      <c r="A26" s="1" t="s">
        <v>26</v>
      </c>
      <c r="B26" s="4">
        <f t="shared" si="0"/>
        <v>0</v>
      </c>
      <c r="C26" s="1"/>
    </row>
    <row r="27" spans="1:3" ht="15.5">
      <c r="A27" s="1" t="s">
        <v>27</v>
      </c>
      <c r="B27" s="4">
        <f t="shared" si="0"/>
        <v>10150.168333333333</v>
      </c>
      <c r="C27" s="1">
        <v>121802.02</v>
      </c>
    </row>
    <row r="28" spans="1:3" ht="15.5">
      <c r="A28" s="2" t="s">
        <v>28</v>
      </c>
      <c r="B28" s="4">
        <f t="shared" si="0"/>
        <v>51820.541666666664</v>
      </c>
      <c r="C28" s="2">
        <f>SUM(C13:C27)</f>
        <v>621846.5</v>
      </c>
    </row>
    <row r="29" spans="1:3" ht="25.5" customHeight="1">
      <c r="A29" s="2" t="s">
        <v>29</v>
      </c>
      <c r="B29" s="1"/>
      <c r="C29" s="2"/>
    </row>
    <row r="30" spans="1:3" ht="25" customHeight="1">
      <c r="A30" s="2" t="s">
        <v>30</v>
      </c>
      <c r="B30" s="1"/>
      <c r="C30" s="2">
        <v>246677.95</v>
      </c>
    </row>
    <row r="31" spans="1:3" ht="46" customHeight="1">
      <c r="A31" s="3" t="s">
        <v>31</v>
      </c>
      <c r="B31" s="1"/>
      <c r="C31" s="1">
        <v>204392.07</v>
      </c>
    </row>
    <row r="32" spans="1:3" ht="62" hidden="1">
      <c r="A32" s="3" t="s">
        <v>32</v>
      </c>
      <c r="B32" s="1"/>
      <c r="C32" s="1"/>
    </row>
    <row r="33" spans="1:3" ht="33" customHeight="1">
      <c r="A33" s="2" t="s">
        <v>33</v>
      </c>
      <c r="B33" s="2"/>
      <c r="C33" s="2">
        <v>-451070.02</v>
      </c>
    </row>
    <row r="34" spans="1:3" ht="30.5" customHeight="1">
      <c r="A34" s="1" t="s">
        <v>34</v>
      </c>
      <c r="B34" s="1"/>
      <c r="C34" s="1"/>
    </row>
    <row r="35" spans="1:3" ht="34" customHeight="1">
      <c r="A35" s="1" t="s">
        <v>35</v>
      </c>
      <c r="B35" s="1"/>
      <c r="C35" s="1"/>
    </row>
    <row r="36" spans="1:3" ht="31.5" customHeight="1">
      <c r="A36" s="1" t="s">
        <v>64</v>
      </c>
      <c r="B36" s="1"/>
      <c r="C36" s="1"/>
    </row>
    <row r="37" spans="1:3" ht="33.5" customHeight="1">
      <c r="A37" s="1" t="s">
        <v>36</v>
      </c>
      <c r="B37" s="1"/>
      <c r="C37" s="1"/>
    </row>
  </sheetData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C37"/>
  <sheetViews>
    <sheetView topLeftCell="A14" workbookViewId="0">
      <selection activeCell="C34" sqref="C34"/>
    </sheetView>
  </sheetViews>
  <sheetFormatPr defaultRowHeight="14.5"/>
  <cols>
    <col min="1" max="1" width="45.26953125" customWidth="1"/>
    <col min="2" max="2" width="16" customWidth="1"/>
    <col min="3" max="3" width="17.26953125" customWidth="1"/>
  </cols>
  <sheetData>
    <row r="1" spans="1:3" ht="15.5">
      <c r="A1" s="1" t="s">
        <v>0</v>
      </c>
      <c r="B1" s="1"/>
      <c r="C1" s="1"/>
    </row>
    <row r="2" spans="1:3" ht="15.5">
      <c r="A2" s="1" t="s">
        <v>71</v>
      </c>
      <c r="B2" s="1" t="s">
        <v>66</v>
      </c>
      <c r="C2" s="1"/>
    </row>
    <row r="3" spans="1:3" ht="15.5">
      <c r="A3" s="1" t="s">
        <v>3</v>
      </c>
      <c r="B3" s="1"/>
      <c r="C3" s="1"/>
    </row>
    <row r="4" spans="1:3" ht="15.5">
      <c r="A4" s="1" t="s">
        <v>4</v>
      </c>
      <c r="B4" s="1"/>
      <c r="C4" s="1"/>
    </row>
    <row r="5" spans="1:3" ht="15.5">
      <c r="A5" s="1" t="s">
        <v>37</v>
      </c>
      <c r="B5" s="1"/>
      <c r="C5" s="1"/>
    </row>
    <row r="6" spans="1:3" ht="15.5">
      <c r="A6" s="1"/>
      <c r="B6" s="1"/>
      <c r="C6" s="1"/>
    </row>
    <row r="7" spans="1:3" ht="15.5">
      <c r="A7" s="1" t="s">
        <v>5</v>
      </c>
      <c r="B7" s="1" t="s">
        <v>6</v>
      </c>
      <c r="C7" s="1" t="s">
        <v>7</v>
      </c>
    </row>
    <row r="8" spans="1:3" ht="15.5">
      <c r="A8" s="2" t="s">
        <v>8</v>
      </c>
      <c r="B8" s="1"/>
      <c r="C8" s="2">
        <v>-240181.4</v>
      </c>
    </row>
    <row r="9" spans="1:3" ht="44.5" customHeight="1">
      <c r="A9" s="3" t="s">
        <v>9</v>
      </c>
      <c r="B9" s="4">
        <f>C9/12</f>
        <v>44171.758333333331</v>
      </c>
      <c r="C9" s="1">
        <v>530061.1</v>
      </c>
    </row>
    <row r="10" spans="1:3" ht="44.5" customHeight="1">
      <c r="A10" s="3" t="s">
        <v>10</v>
      </c>
      <c r="B10" s="4">
        <f t="shared" ref="B10:B28" si="0">C10/12</f>
        <v>1654.8999999999999</v>
      </c>
      <c r="C10" s="1">
        <v>19858.8</v>
      </c>
    </row>
    <row r="11" spans="1:3" ht="17" customHeight="1">
      <c r="A11" s="2" t="s">
        <v>11</v>
      </c>
      <c r="B11" s="4">
        <f t="shared" si="0"/>
        <v>45826.658333333333</v>
      </c>
      <c r="C11" s="2">
        <f>SUM(C9:C10)</f>
        <v>549919.9</v>
      </c>
    </row>
    <row r="12" spans="1:3" ht="15" customHeight="1">
      <c r="A12" s="2" t="s">
        <v>12</v>
      </c>
      <c r="B12" s="4">
        <f t="shared" si="0"/>
        <v>0</v>
      </c>
      <c r="C12" s="1"/>
    </row>
    <row r="13" spans="1:3" ht="77" customHeight="1">
      <c r="A13" s="3" t="s">
        <v>13</v>
      </c>
      <c r="B13" s="4">
        <f t="shared" si="0"/>
        <v>12065.393333333333</v>
      </c>
      <c r="C13" s="1">
        <f>118556.1+26228.62</f>
        <v>144784.72</v>
      </c>
    </row>
    <row r="14" spans="1:3" ht="77.5">
      <c r="A14" s="3" t="s">
        <v>14</v>
      </c>
      <c r="B14" s="4">
        <f t="shared" si="0"/>
        <v>13288.661666666667</v>
      </c>
      <c r="C14" s="1">
        <f>57650.7+101813.24</f>
        <v>159463.94</v>
      </c>
    </row>
    <row r="15" spans="1:3" ht="62">
      <c r="A15" s="3" t="s">
        <v>15</v>
      </c>
      <c r="B15" s="4">
        <f t="shared" si="0"/>
        <v>0</v>
      </c>
      <c r="C15" s="1"/>
    </row>
    <row r="16" spans="1:3" ht="15.5">
      <c r="A16" s="1" t="s">
        <v>16</v>
      </c>
      <c r="B16" s="4">
        <f t="shared" si="0"/>
        <v>14549.583333333334</v>
      </c>
      <c r="C16" s="1">
        <v>174595</v>
      </c>
    </row>
    <row r="17" spans="1:3" ht="15.5">
      <c r="A17" s="1" t="s">
        <v>17</v>
      </c>
      <c r="B17" s="4">
        <f t="shared" si="0"/>
        <v>1574.3500000000001</v>
      </c>
      <c r="C17" s="1">
        <v>18892.2</v>
      </c>
    </row>
    <row r="18" spans="1:3" ht="15.5">
      <c r="A18" s="1" t="s">
        <v>18</v>
      </c>
      <c r="B18" s="4">
        <f t="shared" si="0"/>
        <v>173.71</v>
      </c>
      <c r="C18" s="1">
        <v>2084.52</v>
      </c>
    </row>
    <row r="19" spans="1:3" ht="15.5">
      <c r="A19" s="1" t="s">
        <v>19</v>
      </c>
      <c r="B19" s="4">
        <f t="shared" si="0"/>
        <v>0</v>
      </c>
      <c r="C19" s="1"/>
    </row>
    <row r="20" spans="1:3" ht="15.5">
      <c r="A20" s="1" t="s">
        <v>20</v>
      </c>
      <c r="B20" s="4">
        <f t="shared" si="0"/>
        <v>1857.2524999999998</v>
      </c>
      <c r="C20" s="1">
        <v>22287.03</v>
      </c>
    </row>
    <row r="21" spans="1:3" ht="15.5">
      <c r="A21" s="1" t="s">
        <v>21</v>
      </c>
      <c r="B21" s="4">
        <f t="shared" si="0"/>
        <v>990.92666666666673</v>
      </c>
      <c r="C21" s="1">
        <v>11891.12</v>
      </c>
    </row>
    <row r="22" spans="1:3" ht="15.5">
      <c r="A22" s="1" t="s">
        <v>22</v>
      </c>
      <c r="B22" s="4">
        <f t="shared" si="0"/>
        <v>3927.0849999999996</v>
      </c>
      <c r="C22" s="1">
        <v>47125.02</v>
      </c>
    </row>
    <row r="23" spans="1:3" ht="15.5">
      <c r="A23" s="1" t="s">
        <v>23</v>
      </c>
      <c r="B23" s="4">
        <f t="shared" si="0"/>
        <v>0</v>
      </c>
      <c r="C23" s="1"/>
    </row>
    <row r="24" spans="1:3" ht="15.5">
      <c r="A24" s="1" t="s">
        <v>24</v>
      </c>
      <c r="B24" s="4">
        <f t="shared" si="0"/>
        <v>2725.2416666666668</v>
      </c>
      <c r="C24" s="1">
        <v>32702.9</v>
      </c>
    </row>
    <row r="25" spans="1:3" ht="15.5">
      <c r="A25" s="1" t="s">
        <v>25</v>
      </c>
      <c r="B25" s="4">
        <f t="shared" si="0"/>
        <v>0</v>
      </c>
      <c r="C25" s="1"/>
    </row>
    <row r="26" spans="1:3" ht="15.5">
      <c r="A26" s="1" t="s">
        <v>26</v>
      </c>
      <c r="B26" s="4">
        <f t="shared" si="0"/>
        <v>0</v>
      </c>
      <c r="C26" s="1"/>
    </row>
    <row r="27" spans="1:3" ht="15.5">
      <c r="A27" s="1" t="s">
        <v>27</v>
      </c>
      <c r="B27" s="4">
        <f t="shared" si="0"/>
        <v>8930.1774999999998</v>
      </c>
      <c r="C27" s="1">
        <v>107162.13</v>
      </c>
    </row>
    <row r="28" spans="1:3" ht="15.5">
      <c r="A28" s="2" t="s">
        <v>28</v>
      </c>
      <c r="B28" s="4">
        <f t="shared" si="0"/>
        <v>60082.381666666675</v>
      </c>
      <c r="C28" s="2">
        <f>SUM(C13:C27)</f>
        <v>720988.58000000007</v>
      </c>
    </row>
    <row r="29" spans="1:3" ht="24" customHeight="1">
      <c r="A29" s="2" t="s">
        <v>29</v>
      </c>
      <c r="B29" s="1"/>
      <c r="C29" s="2"/>
    </row>
    <row r="30" spans="1:3" ht="22.5" customHeight="1">
      <c r="A30" s="2" t="s">
        <v>30</v>
      </c>
      <c r="B30" s="1"/>
      <c r="C30" s="2">
        <v>411250.08</v>
      </c>
    </row>
    <row r="31" spans="1:3" ht="42.5" customHeight="1">
      <c r="A31" s="3" t="s">
        <v>31</v>
      </c>
      <c r="B31" s="1"/>
      <c r="C31" s="1">
        <v>251833.68</v>
      </c>
    </row>
    <row r="32" spans="1:3" ht="62" hidden="1">
      <c r="A32" s="3" t="s">
        <v>32</v>
      </c>
      <c r="B32" s="1"/>
      <c r="C32" s="1"/>
    </row>
    <row r="33" spans="1:3" ht="27" customHeight="1">
      <c r="A33" s="2" t="s">
        <v>33</v>
      </c>
      <c r="B33" s="2"/>
      <c r="C33" s="2">
        <v>-663083.76</v>
      </c>
    </row>
    <row r="34" spans="1:3" ht="37.5" customHeight="1">
      <c r="A34" s="1" t="s">
        <v>34</v>
      </c>
      <c r="B34" s="1"/>
      <c r="C34" s="1"/>
    </row>
    <row r="35" spans="1:3" ht="39.5" customHeight="1">
      <c r="A35" s="1" t="s">
        <v>35</v>
      </c>
      <c r="B35" s="1"/>
      <c r="C35" s="1"/>
    </row>
    <row r="36" spans="1:3" ht="40.5" customHeight="1">
      <c r="A36" s="1" t="s">
        <v>64</v>
      </c>
      <c r="B36" s="1"/>
      <c r="C36" s="1"/>
    </row>
    <row r="37" spans="1:3" ht="32.5" customHeight="1">
      <c r="A37" s="1" t="s">
        <v>36</v>
      </c>
      <c r="B37" s="1"/>
      <c r="C37" s="1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>
      <selection activeCell="C11" sqref="C11"/>
    </sheetView>
  </sheetViews>
  <sheetFormatPr defaultRowHeight="14.5"/>
  <cols>
    <col min="1" max="1" width="45.7265625" customWidth="1"/>
    <col min="2" max="2" width="13.08984375" customWidth="1"/>
    <col min="3" max="3" width="13.6328125" customWidth="1"/>
  </cols>
  <sheetData>
    <row r="1" spans="1:3" ht="15.5">
      <c r="A1" s="1" t="s">
        <v>0</v>
      </c>
      <c r="B1" s="1"/>
      <c r="C1" s="1"/>
    </row>
    <row r="2" spans="1:3" ht="15.5">
      <c r="A2" s="1" t="s">
        <v>38</v>
      </c>
      <c r="B2" s="1" t="s">
        <v>2</v>
      </c>
      <c r="C2" s="1"/>
    </row>
    <row r="3" spans="1:3" ht="15.5">
      <c r="A3" s="1" t="s">
        <v>3</v>
      </c>
      <c r="B3" s="1"/>
      <c r="C3" s="1"/>
    </row>
    <row r="4" spans="1:3" ht="15.5">
      <c r="A4" s="1" t="s">
        <v>4</v>
      </c>
      <c r="B4" s="1"/>
      <c r="C4" s="1"/>
    </row>
    <row r="5" spans="1:3" ht="15.5">
      <c r="A5" s="1" t="s">
        <v>116</v>
      </c>
      <c r="B5" s="1"/>
      <c r="C5" s="1"/>
    </row>
    <row r="6" spans="1:3" ht="15.5">
      <c r="A6" s="1"/>
      <c r="B6" s="1"/>
      <c r="C6" s="1"/>
    </row>
    <row r="7" spans="1:3" ht="15.5">
      <c r="A7" s="1" t="s">
        <v>5</v>
      </c>
      <c r="B7" s="1" t="s">
        <v>6</v>
      </c>
      <c r="C7" s="1" t="s">
        <v>7</v>
      </c>
    </row>
    <row r="8" spans="1:3" ht="15.5">
      <c r="A8" s="2" t="s">
        <v>8</v>
      </c>
      <c r="B8" s="1"/>
      <c r="C8" s="2">
        <v>118650.29</v>
      </c>
    </row>
    <row r="9" spans="1:3" ht="45.5" customHeight="1">
      <c r="A9" s="3" t="s">
        <v>9</v>
      </c>
      <c r="B9" s="4">
        <f>C9/12</f>
        <v>72648.491666666669</v>
      </c>
      <c r="C9" s="1">
        <v>871781.9</v>
      </c>
    </row>
    <row r="10" spans="1:3" ht="49.5" customHeight="1">
      <c r="A10" s="3" t="s">
        <v>10</v>
      </c>
      <c r="B10" s="4">
        <f t="shared" ref="B10:B28" si="0">C10/12</f>
        <v>7558.2141666666676</v>
      </c>
      <c r="C10" s="1">
        <f>71108.57+19590</f>
        <v>90698.57</v>
      </c>
    </row>
    <row r="11" spans="1:3" ht="15.5">
      <c r="A11" s="2" t="s">
        <v>11</v>
      </c>
      <c r="B11" s="4">
        <f t="shared" si="0"/>
        <v>80206.705833333326</v>
      </c>
      <c r="C11" s="2">
        <f>SUM(C9:C10)</f>
        <v>962480.47</v>
      </c>
    </row>
    <row r="12" spans="1:3" ht="15.5">
      <c r="A12" s="2" t="s">
        <v>12</v>
      </c>
      <c r="B12" s="4">
        <f t="shared" si="0"/>
        <v>0</v>
      </c>
      <c r="C12" s="1"/>
    </row>
    <row r="13" spans="1:3" ht="79" customHeight="1">
      <c r="A13" s="3" t="s">
        <v>13</v>
      </c>
      <c r="B13" s="4">
        <f t="shared" si="0"/>
        <v>18856.661666666667</v>
      </c>
      <c r="C13" s="1">
        <f>185287.98+40991.96</f>
        <v>226279.94</v>
      </c>
    </row>
    <row r="14" spans="1:3" ht="76" customHeight="1">
      <c r="A14" s="3" t="s">
        <v>14</v>
      </c>
      <c r="B14" s="4">
        <f t="shared" si="0"/>
        <v>12717.25</v>
      </c>
      <c r="C14" s="1">
        <f>47227.84+105379.16</f>
        <v>152607</v>
      </c>
    </row>
    <row r="15" spans="1:3" ht="66.5" customHeight="1">
      <c r="A15" s="3" t="s">
        <v>15</v>
      </c>
      <c r="B15" s="4">
        <f t="shared" si="0"/>
        <v>0</v>
      </c>
      <c r="C15" s="1"/>
    </row>
    <row r="16" spans="1:3" ht="15.5">
      <c r="A16" s="1" t="s">
        <v>16</v>
      </c>
      <c r="B16" s="4">
        <f t="shared" si="0"/>
        <v>3037.9166666666665</v>
      </c>
      <c r="C16" s="1">
        <v>36455</v>
      </c>
    </row>
    <row r="17" spans="1:3" ht="15.5">
      <c r="A17" s="1" t="s">
        <v>17</v>
      </c>
      <c r="B17" s="4">
        <f t="shared" si="0"/>
        <v>2620.38</v>
      </c>
      <c r="C17" s="1">
        <v>31444.560000000001</v>
      </c>
    </row>
    <row r="18" spans="1:3" ht="15.5">
      <c r="A18" s="1" t="s">
        <v>18</v>
      </c>
      <c r="B18" s="4">
        <f t="shared" si="0"/>
        <v>0</v>
      </c>
      <c r="C18" s="1"/>
    </row>
    <row r="19" spans="1:3" ht="15.5">
      <c r="A19" s="1" t="s">
        <v>19</v>
      </c>
      <c r="B19" s="4">
        <f t="shared" si="0"/>
        <v>0</v>
      </c>
      <c r="C19" s="1"/>
    </row>
    <row r="20" spans="1:3" ht="15.5">
      <c r="A20" s="1" t="s">
        <v>20</v>
      </c>
      <c r="B20" s="4">
        <f t="shared" si="0"/>
        <v>1293.0241666666668</v>
      </c>
      <c r="C20" s="1">
        <v>15516.29</v>
      </c>
    </row>
    <row r="21" spans="1:3" ht="15.5">
      <c r="A21" s="1" t="s">
        <v>21</v>
      </c>
      <c r="B21" s="4">
        <f t="shared" si="0"/>
        <v>1755.2141666666666</v>
      </c>
      <c r="C21" s="1">
        <v>21062.57</v>
      </c>
    </row>
    <row r="22" spans="1:3" ht="15.5">
      <c r="A22" s="1" t="s">
        <v>22</v>
      </c>
      <c r="B22" s="4">
        <f t="shared" si="0"/>
        <v>6608.6583333333328</v>
      </c>
      <c r="C22" s="1">
        <v>79303.899999999994</v>
      </c>
    </row>
    <row r="23" spans="1:3" ht="15.5">
      <c r="A23" s="1" t="s">
        <v>23</v>
      </c>
      <c r="B23" s="4">
        <f t="shared" si="0"/>
        <v>795.07083333333333</v>
      </c>
      <c r="C23" s="1">
        <v>9540.85</v>
      </c>
    </row>
    <row r="24" spans="1:3" ht="15.5">
      <c r="A24" s="1" t="s">
        <v>24</v>
      </c>
      <c r="B24" s="4">
        <f t="shared" si="0"/>
        <v>4769.7699999999995</v>
      </c>
      <c r="C24" s="1">
        <v>57237.24</v>
      </c>
    </row>
    <row r="25" spans="1:3" ht="15.5">
      <c r="A25" s="1" t="s">
        <v>25</v>
      </c>
      <c r="B25" s="4">
        <f t="shared" si="0"/>
        <v>378.7475</v>
      </c>
      <c r="C25" s="1">
        <v>4544.97</v>
      </c>
    </row>
    <row r="26" spans="1:3" ht="15.5">
      <c r="A26" s="1" t="s">
        <v>26</v>
      </c>
      <c r="B26" s="4">
        <f t="shared" si="0"/>
        <v>0</v>
      </c>
      <c r="C26" s="1"/>
    </row>
    <row r="27" spans="1:3" ht="15.5">
      <c r="A27" s="1" t="s">
        <v>27</v>
      </c>
      <c r="B27" s="4">
        <f t="shared" si="0"/>
        <v>15028.065833333334</v>
      </c>
      <c r="C27" s="1">
        <v>180336.79</v>
      </c>
    </row>
    <row r="28" spans="1:3" ht="15.5">
      <c r="A28" s="2" t="s">
        <v>28</v>
      </c>
      <c r="B28" s="4">
        <f t="shared" si="0"/>
        <v>67860.75916666667</v>
      </c>
      <c r="C28" s="2">
        <f>SUM(C13:C27)</f>
        <v>814329.11</v>
      </c>
    </row>
    <row r="29" spans="1:3" ht="15.5">
      <c r="A29" s="2" t="s">
        <v>29</v>
      </c>
      <c r="B29" s="1"/>
      <c r="C29" s="2">
        <v>266801.65000000002</v>
      </c>
    </row>
    <row r="30" spans="1:3" ht="15.5">
      <c r="A30" s="2" t="s">
        <v>30</v>
      </c>
      <c r="B30" s="1"/>
      <c r="C30" s="2"/>
    </row>
    <row r="31" spans="1:3" ht="31">
      <c r="A31" s="3" t="s">
        <v>31</v>
      </c>
      <c r="B31" s="1"/>
      <c r="C31" s="1">
        <v>90099.5</v>
      </c>
    </row>
    <row r="32" spans="1:3" ht="62" hidden="1">
      <c r="A32" s="3" t="s">
        <v>32</v>
      </c>
      <c r="B32" s="1"/>
      <c r="C32" s="1"/>
    </row>
    <row r="33" spans="1:3" ht="15.5">
      <c r="A33" s="2" t="s">
        <v>33</v>
      </c>
      <c r="B33" s="2"/>
      <c r="C33" s="2">
        <v>176702.15</v>
      </c>
    </row>
    <row r="34" spans="1:3" ht="38.5" customHeight="1">
      <c r="A34" s="1" t="s">
        <v>34</v>
      </c>
      <c r="B34" s="1"/>
      <c r="C34" s="1"/>
    </row>
    <row r="35" spans="1:3" ht="18" customHeight="1">
      <c r="A35" s="1" t="s">
        <v>35</v>
      </c>
      <c r="B35" s="1"/>
      <c r="C35" s="1"/>
    </row>
    <row r="36" spans="1:3" ht="21" customHeight="1">
      <c r="A36" s="1" t="s">
        <v>114</v>
      </c>
      <c r="B36" s="1"/>
      <c r="C36" s="1"/>
    </row>
    <row r="37" spans="1:3" ht="18.5" customHeight="1">
      <c r="A37" s="1" t="s">
        <v>36</v>
      </c>
      <c r="B37" s="1"/>
      <c r="C37" s="1"/>
    </row>
  </sheetData>
  <pageMargins left="0.7" right="0.7" top="0.75" bottom="0.75" header="0.3" footer="0.3"/>
  <pageSetup paperSize="9" orientation="portrait" horizontalDpi="180" verticalDpi="18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C37"/>
  <sheetViews>
    <sheetView topLeftCell="A20" workbookViewId="0">
      <selection activeCell="C34" sqref="C34"/>
    </sheetView>
  </sheetViews>
  <sheetFormatPr defaultRowHeight="14.5"/>
  <cols>
    <col min="1" max="1" width="44.6328125" customWidth="1"/>
    <col min="2" max="3" width="14.90625" customWidth="1"/>
  </cols>
  <sheetData>
    <row r="1" spans="1:3" ht="15.5">
      <c r="A1" s="1" t="s">
        <v>0</v>
      </c>
      <c r="B1" s="1"/>
      <c r="C1" s="1"/>
    </row>
    <row r="2" spans="1:3" ht="15.5">
      <c r="A2" s="1" t="s">
        <v>72</v>
      </c>
      <c r="B2" s="1" t="s">
        <v>66</v>
      </c>
      <c r="C2" s="1"/>
    </row>
    <row r="3" spans="1:3" ht="15.5">
      <c r="A3" s="1" t="s">
        <v>3</v>
      </c>
      <c r="B3" s="1"/>
      <c r="C3" s="1"/>
    </row>
    <row r="4" spans="1:3" ht="15.5">
      <c r="A4" s="1" t="s">
        <v>4</v>
      </c>
      <c r="B4" s="1"/>
      <c r="C4" s="1"/>
    </row>
    <row r="5" spans="1:3" ht="15.5">
      <c r="A5" s="1" t="s">
        <v>116</v>
      </c>
      <c r="B5" s="1"/>
      <c r="C5" s="1"/>
    </row>
    <row r="6" spans="1:3" ht="15.5">
      <c r="A6" s="1"/>
      <c r="B6" s="1"/>
      <c r="C6" s="1"/>
    </row>
    <row r="7" spans="1:3" ht="15.5">
      <c r="A7" s="1" t="s">
        <v>5</v>
      </c>
      <c r="B7" s="1" t="s">
        <v>6</v>
      </c>
      <c r="C7" s="1" t="s">
        <v>7</v>
      </c>
    </row>
    <row r="8" spans="1:3" ht="15.5">
      <c r="A8" s="2" t="s">
        <v>8</v>
      </c>
      <c r="B8" s="1"/>
      <c r="C8" s="2">
        <v>-227083.27</v>
      </c>
    </row>
    <row r="9" spans="1:3" ht="45" customHeight="1">
      <c r="A9" s="3" t="s">
        <v>9</v>
      </c>
      <c r="B9" s="4">
        <f>C9/12</f>
        <v>42663.51666666667</v>
      </c>
      <c r="C9" s="1">
        <v>511962.2</v>
      </c>
    </row>
    <row r="10" spans="1:3" ht="44" customHeight="1">
      <c r="A10" s="3" t="s">
        <v>10</v>
      </c>
      <c r="B10" s="4">
        <f t="shared" ref="B10:B28" si="0">C10/12</f>
        <v>1752.7966666666664</v>
      </c>
      <c r="C10" s="1">
        <f>6334.76+14698.8</f>
        <v>21033.559999999998</v>
      </c>
    </row>
    <row r="11" spans="1:3" ht="19" customHeight="1">
      <c r="A11" s="2" t="s">
        <v>11</v>
      </c>
      <c r="B11" s="4">
        <f t="shared" si="0"/>
        <v>44416.313333333332</v>
      </c>
      <c r="C11" s="2">
        <f>SUM(C9:C10)</f>
        <v>532995.76</v>
      </c>
    </row>
    <row r="12" spans="1:3" ht="19" customHeight="1">
      <c r="A12" s="2" t="s">
        <v>12</v>
      </c>
      <c r="B12" s="4">
        <f t="shared" si="0"/>
        <v>0</v>
      </c>
      <c r="C12" s="1"/>
    </row>
    <row r="13" spans="1:3" ht="77.5" customHeight="1">
      <c r="A13" s="3" t="s">
        <v>13</v>
      </c>
      <c r="B13" s="4">
        <f t="shared" si="0"/>
        <v>12156.683333333334</v>
      </c>
      <c r="C13" s="1">
        <f>119453.1+26427.1</f>
        <v>145880.20000000001</v>
      </c>
    </row>
    <row r="14" spans="1:3" ht="77.5">
      <c r="A14" s="3" t="s">
        <v>14</v>
      </c>
      <c r="B14" s="4">
        <f t="shared" si="0"/>
        <v>14042.551666666666</v>
      </c>
      <c r="C14" s="1">
        <f>56966.14+111544.48</f>
        <v>168510.62</v>
      </c>
    </row>
    <row r="15" spans="1:3" ht="62">
      <c r="A15" s="3" t="s">
        <v>15</v>
      </c>
      <c r="B15" s="4">
        <f t="shared" si="0"/>
        <v>0</v>
      </c>
      <c r="C15" s="1"/>
    </row>
    <row r="16" spans="1:3" ht="15.5">
      <c r="A16" s="1" t="s">
        <v>16</v>
      </c>
      <c r="B16" s="4">
        <f t="shared" si="0"/>
        <v>5604.666666666667</v>
      </c>
      <c r="C16" s="1">
        <v>67256</v>
      </c>
    </row>
    <row r="17" spans="1:3" ht="15.5">
      <c r="A17" s="1" t="s">
        <v>17</v>
      </c>
      <c r="B17" s="4">
        <f t="shared" si="0"/>
        <v>1560.78</v>
      </c>
      <c r="C17" s="1">
        <v>18729.36</v>
      </c>
    </row>
    <row r="18" spans="1:3" ht="15.5">
      <c r="A18" s="1" t="s">
        <v>18</v>
      </c>
      <c r="B18" s="4">
        <f t="shared" si="0"/>
        <v>172.58</v>
      </c>
      <c r="C18" s="1">
        <v>2070.96</v>
      </c>
    </row>
    <row r="19" spans="1:3" ht="15.5">
      <c r="A19" s="1" t="s">
        <v>19</v>
      </c>
      <c r="B19" s="4">
        <f t="shared" si="0"/>
        <v>0</v>
      </c>
      <c r="C19" s="1"/>
    </row>
    <row r="20" spans="1:3" ht="15.5">
      <c r="A20" s="1" t="s">
        <v>20</v>
      </c>
      <c r="B20" s="4">
        <f t="shared" si="0"/>
        <v>1857.2524999999998</v>
      </c>
      <c r="C20" s="1">
        <v>22287.03</v>
      </c>
    </row>
    <row r="21" spans="1:3" ht="15.5">
      <c r="A21" s="1" t="s">
        <v>21</v>
      </c>
      <c r="B21" s="4">
        <f t="shared" si="0"/>
        <v>955.61833333333334</v>
      </c>
      <c r="C21" s="1">
        <v>11467.42</v>
      </c>
    </row>
    <row r="22" spans="1:3" ht="15.5">
      <c r="A22" s="1" t="s">
        <v>22</v>
      </c>
      <c r="B22" s="4">
        <f t="shared" si="0"/>
        <v>3969.1124999999997</v>
      </c>
      <c r="C22" s="1">
        <v>47629.35</v>
      </c>
    </row>
    <row r="23" spans="1:3" ht="15.5">
      <c r="A23" s="1" t="s">
        <v>23</v>
      </c>
      <c r="B23" s="4">
        <f t="shared" si="0"/>
        <v>0</v>
      </c>
      <c r="C23" s="1"/>
    </row>
    <row r="24" spans="1:3" ht="15.5">
      <c r="A24" s="1" t="s">
        <v>24</v>
      </c>
      <c r="B24" s="4">
        <f t="shared" si="0"/>
        <v>2641.37</v>
      </c>
      <c r="C24" s="1">
        <v>31696.44</v>
      </c>
    </row>
    <row r="25" spans="1:3" ht="15.5">
      <c r="A25" s="1" t="s">
        <v>25</v>
      </c>
      <c r="B25" s="4">
        <f t="shared" si="0"/>
        <v>0</v>
      </c>
      <c r="C25" s="1"/>
    </row>
    <row r="26" spans="1:3" ht="15.5">
      <c r="A26" s="1" t="s">
        <v>26</v>
      </c>
      <c r="B26" s="4">
        <f t="shared" si="0"/>
        <v>0</v>
      </c>
      <c r="C26" s="1"/>
    </row>
    <row r="27" spans="1:3" ht="15.5">
      <c r="A27" s="1" t="s">
        <v>27</v>
      </c>
      <c r="B27" s="4">
        <f t="shared" si="0"/>
        <v>9025.7474999999995</v>
      </c>
      <c r="C27" s="1">
        <v>108308.97</v>
      </c>
    </row>
    <row r="28" spans="1:3" ht="15.5">
      <c r="A28" s="2" t="s">
        <v>28</v>
      </c>
      <c r="B28" s="4">
        <f t="shared" si="0"/>
        <v>51986.362499999996</v>
      </c>
      <c r="C28" s="2">
        <f>SUM(C13:C27)</f>
        <v>623836.35</v>
      </c>
    </row>
    <row r="29" spans="1:3" ht="26.5" customHeight="1">
      <c r="A29" s="2" t="s">
        <v>29</v>
      </c>
      <c r="B29" s="1"/>
      <c r="C29" s="2"/>
    </row>
    <row r="30" spans="1:3" ht="23.5" customHeight="1">
      <c r="A30" s="2" t="s">
        <v>30</v>
      </c>
      <c r="B30" s="1"/>
      <c r="C30" s="2">
        <v>317923.86</v>
      </c>
    </row>
    <row r="31" spans="1:3" ht="44" customHeight="1">
      <c r="A31" s="3" t="s">
        <v>31</v>
      </c>
      <c r="B31" s="1"/>
      <c r="C31" s="1">
        <v>255688.41</v>
      </c>
    </row>
    <row r="32" spans="1:3" ht="62" hidden="1">
      <c r="A32" s="3" t="s">
        <v>32</v>
      </c>
      <c r="B32" s="1"/>
      <c r="C32" s="1"/>
    </row>
    <row r="33" spans="1:3" ht="31.5" customHeight="1">
      <c r="A33" s="2" t="s">
        <v>33</v>
      </c>
      <c r="B33" s="2"/>
      <c r="C33" s="2">
        <v>-573612.27</v>
      </c>
    </row>
    <row r="34" spans="1:3" ht="27.5" customHeight="1">
      <c r="A34" s="1" t="s">
        <v>34</v>
      </c>
      <c r="B34" s="1"/>
      <c r="C34" s="1"/>
    </row>
    <row r="35" spans="1:3" ht="27.5" customHeight="1">
      <c r="A35" s="1" t="s">
        <v>35</v>
      </c>
      <c r="B35" s="1"/>
      <c r="C35" s="1"/>
    </row>
    <row r="36" spans="1:3" ht="31" customHeight="1">
      <c r="A36" s="1" t="s">
        <v>64</v>
      </c>
      <c r="B36" s="1"/>
      <c r="C36" s="1"/>
    </row>
    <row r="37" spans="1:3" ht="27" customHeight="1">
      <c r="A37" s="1" t="s">
        <v>36</v>
      </c>
      <c r="B37" s="1"/>
      <c r="C37" s="1"/>
    </row>
  </sheetData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C37"/>
  <sheetViews>
    <sheetView topLeftCell="A22" workbookViewId="0">
      <selection activeCell="C34" sqref="C34"/>
    </sheetView>
  </sheetViews>
  <sheetFormatPr defaultRowHeight="14.5"/>
  <cols>
    <col min="1" max="1" width="42.6328125" customWidth="1"/>
    <col min="2" max="2" width="16.90625" customWidth="1"/>
    <col min="3" max="3" width="16.81640625" customWidth="1"/>
  </cols>
  <sheetData>
    <row r="1" spans="1:3" ht="15.5">
      <c r="A1" s="1" t="s">
        <v>0</v>
      </c>
      <c r="B1" s="1"/>
      <c r="C1" s="1"/>
    </row>
    <row r="2" spans="1:3" ht="15.5">
      <c r="A2" s="1" t="s">
        <v>73</v>
      </c>
      <c r="B2" s="1" t="s">
        <v>66</v>
      </c>
      <c r="C2" s="1"/>
    </row>
    <row r="3" spans="1:3" ht="15.5">
      <c r="A3" s="1" t="s">
        <v>3</v>
      </c>
      <c r="B3" s="1"/>
      <c r="C3" s="1"/>
    </row>
    <row r="4" spans="1:3" ht="15.5">
      <c r="A4" s="1" t="s">
        <v>4</v>
      </c>
      <c r="B4" s="1"/>
      <c r="C4" s="1"/>
    </row>
    <row r="5" spans="1:3" ht="15.5">
      <c r="A5" s="1" t="s">
        <v>116</v>
      </c>
      <c r="B5" s="1"/>
      <c r="C5" s="1"/>
    </row>
    <row r="6" spans="1:3" ht="15.5">
      <c r="A6" s="1"/>
      <c r="B6" s="1"/>
      <c r="C6" s="1"/>
    </row>
    <row r="7" spans="1:3" ht="15.5">
      <c r="A7" s="1" t="s">
        <v>5</v>
      </c>
      <c r="B7" s="1" t="s">
        <v>6</v>
      </c>
      <c r="C7" s="1" t="s">
        <v>7</v>
      </c>
    </row>
    <row r="8" spans="1:3" ht="15.5">
      <c r="A8" s="2" t="s">
        <v>8</v>
      </c>
      <c r="B8" s="1"/>
      <c r="C8" s="2">
        <v>-218145.35</v>
      </c>
    </row>
    <row r="9" spans="1:3" ht="44" customHeight="1">
      <c r="A9" s="3" t="s">
        <v>9</v>
      </c>
      <c r="B9" s="4">
        <f>C9/12</f>
        <v>40605.525000000001</v>
      </c>
      <c r="C9" s="1">
        <v>487266.3</v>
      </c>
    </row>
    <row r="10" spans="1:3" ht="49.5" customHeight="1">
      <c r="A10" s="3" t="s">
        <v>10</v>
      </c>
      <c r="B10" s="4">
        <f t="shared" ref="B10:B28" si="0">C10/12</f>
        <v>2250.3250000000003</v>
      </c>
      <c r="C10" s="1">
        <f>7145.1+19858.8</f>
        <v>27003.9</v>
      </c>
    </row>
    <row r="11" spans="1:3" ht="14.5" customHeight="1">
      <c r="A11" s="2" t="s">
        <v>11</v>
      </c>
      <c r="B11" s="4">
        <f t="shared" si="0"/>
        <v>42855.85</v>
      </c>
      <c r="C11" s="2">
        <f>SUM(C9:C10)</f>
        <v>514270.2</v>
      </c>
    </row>
    <row r="12" spans="1:3" ht="15" customHeight="1">
      <c r="A12" s="2" t="s">
        <v>12</v>
      </c>
      <c r="B12" s="4">
        <f t="shared" si="0"/>
        <v>0</v>
      </c>
      <c r="C12" s="1"/>
    </row>
    <row r="13" spans="1:3" ht="73.5" customHeight="1">
      <c r="A13" s="3" t="s">
        <v>13</v>
      </c>
      <c r="B13" s="4">
        <f t="shared" si="0"/>
        <v>11990.926666666666</v>
      </c>
      <c r="C13" s="1">
        <f>117824.4+26066.72</f>
        <v>143891.12</v>
      </c>
    </row>
    <row r="14" spans="1:3" ht="77.5">
      <c r="A14" s="3" t="s">
        <v>14</v>
      </c>
      <c r="B14" s="4">
        <f t="shared" si="0"/>
        <v>13821.226666666667</v>
      </c>
      <c r="C14" s="1">
        <f>54310.24+111544.48</f>
        <v>165854.72</v>
      </c>
    </row>
    <row r="15" spans="1:3" ht="62">
      <c r="A15" s="3" t="s">
        <v>15</v>
      </c>
      <c r="B15" s="4">
        <f t="shared" si="0"/>
        <v>0</v>
      </c>
      <c r="C15" s="1"/>
    </row>
    <row r="16" spans="1:3" ht="15.5">
      <c r="A16" s="1" t="s">
        <v>16</v>
      </c>
      <c r="B16" s="4">
        <f t="shared" si="0"/>
        <v>1075.1666666666667</v>
      </c>
      <c r="C16" s="1">
        <v>12902</v>
      </c>
    </row>
    <row r="17" spans="1:3" ht="15.5">
      <c r="A17" s="1" t="s">
        <v>17</v>
      </c>
      <c r="B17" s="4">
        <f t="shared" si="0"/>
        <v>1577.78</v>
      </c>
      <c r="C17" s="1">
        <v>18933.36</v>
      </c>
    </row>
    <row r="18" spans="1:3" ht="15.5">
      <c r="A18" s="1" t="s">
        <v>18</v>
      </c>
      <c r="B18" s="4">
        <f t="shared" si="0"/>
        <v>349.66333333333336</v>
      </c>
      <c r="C18" s="1">
        <v>4195.96</v>
      </c>
    </row>
    <row r="19" spans="1:3" ht="15.5">
      <c r="A19" s="1" t="s">
        <v>19</v>
      </c>
      <c r="B19" s="4">
        <f t="shared" si="0"/>
        <v>0</v>
      </c>
      <c r="C19" s="1"/>
    </row>
    <row r="20" spans="1:3" ht="15.5">
      <c r="A20" s="1" t="s">
        <v>20</v>
      </c>
      <c r="B20" s="4">
        <f t="shared" si="0"/>
        <v>1857.2524999999998</v>
      </c>
      <c r="C20" s="1">
        <v>22287.03</v>
      </c>
    </row>
    <row r="21" spans="1:3" ht="15.5">
      <c r="A21" s="1" t="s">
        <v>21</v>
      </c>
      <c r="B21" s="4">
        <f t="shared" si="0"/>
        <v>926.23166666666668</v>
      </c>
      <c r="C21" s="1">
        <v>11114.78</v>
      </c>
    </row>
    <row r="22" spans="1:3" ht="15.5">
      <c r="A22" s="1" t="s">
        <v>22</v>
      </c>
      <c r="B22" s="4">
        <f t="shared" si="0"/>
        <v>3935.6458333333335</v>
      </c>
      <c r="C22" s="1">
        <v>47227.75</v>
      </c>
    </row>
    <row r="23" spans="1:3" ht="15.5">
      <c r="A23" s="1" t="s">
        <v>23</v>
      </c>
      <c r="B23" s="4">
        <f t="shared" si="0"/>
        <v>0</v>
      </c>
      <c r="C23" s="1"/>
    </row>
    <row r="24" spans="1:3" ht="15.5">
      <c r="A24" s="1" t="s">
        <v>24</v>
      </c>
      <c r="B24" s="4">
        <f t="shared" si="0"/>
        <v>2548.5716666666667</v>
      </c>
      <c r="C24" s="1">
        <v>30582.86</v>
      </c>
    </row>
    <row r="25" spans="1:3" ht="15.5">
      <c r="A25" s="1" t="s">
        <v>25</v>
      </c>
      <c r="B25" s="4">
        <f t="shared" si="0"/>
        <v>0</v>
      </c>
      <c r="C25" s="1"/>
    </row>
    <row r="26" spans="1:3" ht="15.5">
      <c r="A26" s="1" t="s">
        <v>26</v>
      </c>
      <c r="B26" s="4">
        <f t="shared" si="0"/>
        <v>220.58</v>
      </c>
      <c r="C26" s="1">
        <v>2646.96</v>
      </c>
    </row>
    <row r="27" spans="1:3" ht="15.5">
      <c r="A27" s="1" t="s">
        <v>27</v>
      </c>
      <c r="B27" s="4">
        <f t="shared" si="0"/>
        <v>8949.6458333333339</v>
      </c>
      <c r="C27" s="1">
        <v>107395.75</v>
      </c>
    </row>
    <row r="28" spans="1:3" ht="15.5">
      <c r="A28" s="2" t="s">
        <v>28</v>
      </c>
      <c r="B28" s="4">
        <f t="shared" si="0"/>
        <v>47252.690833333334</v>
      </c>
      <c r="C28" s="2">
        <f>SUM(C13:C27)</f>
        <v>567032.29</v>
      </c>
    </row>
    <row r="29" spans="1:3" ht="25" customHeight="1">
      <c r="A29" s="2" t="s">
        <v>29</v>
      </c>
      <c r="B29" s="1"/>
      <c r="C29" s="2">
        <v>-270907.44</v>
      </c>
    </row>
    <row r="30" spans="1:3" ht="30" customHeight="1">
      <c r="A30" s="2" t="s">
        <v>30</v>
      </c>
      <c r="B30" s="1"/>
      <c r="C30" s="2"/>
    </row>
    <row r="31" spans="1:3" ht="31">
      <c r="A31" s="3" t="s">
        <v>31</v>
      </c>
      <c r="B31" s="1"/>
      <c r="C31" s="1">
        <v>341635.3</v>
      </c>
    </row>
    <row r="32" spans="1:3" ht="1" customHeight="1">
      <c r="A32" s="3" t="s">
        <v>32</v>
      </c>
      <c r="B32" s="1"/>
      <c r="C32" s="1"/>
    </row>
    <row r="33" spans="1:3" ht="34" customHeight="1">
      <c r="A33" s="2" t="s">
        <v>33</v>
      </c>
      <c r="B33" s="2"/>
      <c r="C33" s="2">
        <v>-612542.74</v>
      </c>
    </row>
    <row r="34" spans="1:3" ht="31.5" customHeight="1">
      <c r="A34" s="1" t="s">
        <v>34</v>
      </c>
      <c r="B34" s="1"/>
      <c r="C34" s="1"/>
    </row>
    <row r="35" spans="1:3" ht="32" customHeight="1">
      <c r="A35" s="1" t="s">
        <v>35</v>
      </c>
      <c r="B35" s="1"/>
      <c r="C35" s="1"/>
    </row>
    <row r="36" spans="1:3" ht="32" customHeight="1">
      <c r="A36" s="1" t="s">
        <v>64</v>
      </c>
      <c r="B36" s="1"/>
      <c r="C36" s="1"/>
    </row>
    <row r="37" spans="1:3" ht="25.5" customHeight="1">
      <c r="A37" s="1" t="s">
        <v>36</v>
      </c>
      <c r="B37" s="1"/>
      <c r="C37" s="1"/>
    </row>
  </sheetData>
  <pageMargins left="0.7" right="0.7" top="0.75" bottom="0.75" header="0.3" footer="0.3"/>
  <pageSetup paperSize="9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C37"/>
  <sheetViews>
    <sheetView workbookViewId="0">
      <selection activeCell="C34" sqref="C34"/>
    </sheetView>
  </sheetViews>
  <sheetFormatPr defaultRowHeight="14.5"/>
  <cols>
    <col min="1" max="1" width="44" customWidth="1"/>
    <col min="2" max="2" width="17.453125" customWidth="1"/>
    <col min="3" max="3" width="16.36328125" customWidth="1"/>
  </cols>
  <sheetData>
    <row r="1" spans="1:3" ht="15.5">
      <c r="A1" s="1" t="s">
        <v>0</v>
      </c>
      <c r="B1" s="1"/>
      <c r="C1" s="1"/>
    </row>
    <row r="2" spans="1:3" ht="15.5">
      <c r="A2" s="1" t="s">
        <v>74</v>
      </c>
      <c r="B2" s="1" t="s">
        <v>48</v>
      </c>
      <c r="C2" s="1"/>
    </row>
    <row r="3" spans="1:3" ht="15.5">
      <c r="A3" s="1" t="s">
        <v>3</v>
      </c>
      <c r="B3" s="1"/>
      <c r="C3" s="1"/>
    </row>
    <row r="4" spans="1:3" ht="15.5">
      <c r="A4" s="1" t="s">
        <v>4</v>
      </c>
      <c r="B4" s="1"/>
      <c r="C4" s="1"/>
    </row>
    <row r="5" spans="1:3" ht="15.5">
      <c r="A5" s="1" t="s">
        <v>116</v>
      </c>
      <c r="B5" s="1"/>
      <c r="C5" s="1"/>
    </row>
    <row r="6" spans="1:3" ht="7" customHeight="1">
      <c r="A6" s="1"/>
      <c r="B6" s="1"/>
      <c r="C6" s="1"/>
    </row>
    <row r="7" spans="1:3" ht="15.5">
      <c r="A7" s="1" t="s">
        <v>5</v>
      </c>
      <c r="B7" s="1" t="s">
        <v>6</v>
      </c>
      <c r="C7" s="1" t="s">
        <v>7</v>
      </c>
    </row>
    <row r="8" spans="1:3" ht="15.5">
      <c r="A8" s="2" t="s">
        <v>8</v>
      </c>
      <c r="B8" s="1"/>
      <c r="C8" s="2">
        <v>82174.69</v>
      </c>
    </row>
    <row r="9" spans="1:3" ht="43.5" customHeight="1">
      <c r="A9" s="3" t="s">
        <v>9</v>
      </c>
      <c r="B9" s="4">
        <f>C9/12</f>
        <v>52421.328333333331</v>
      </c>
      <c r="C9" s="1">
        <v>629055.93999999994</v>
      </c>
    </row>
    <row r="10" spans="1:3" ht="44.5" customHeight="1">
      <c r="A10" s="3" t="s">
        <v>10</v>
      </c>
      <c r="B10" s="4">
        <f t="shared" ref="B10:B28" si="0">C10/12</f>
        <v>2494.4833333333331</v>
      </c>
      <c r="C10" s="1">
        <v>29933.8</v>
      </c>
    </row>
    <row r="11" spans="1:3" ht="15.5">
      <c r="A11" s="2" t="s">
        <v>11</v>
      </c>
      <c r="B11" s="4">
        <f t="shared" si="0"/>
        <v>54915.811666666668</v>
      </c>
      <c r="C11" s="2">
        <f>SUM(C9:C10)</f>
        <v>658989.74</v>
      </c>
    </row>
    <row r="12" spans="1:3" ht="15.5">
      <c r="A12" s="2" t="s">
        <v>12</v>
      </c>
      <c r="B12" s="4">
        <f t="shared" si="0"/>
        <v>0</v>
      </c>
      <c r="C12" s="1"/>
    </row>
    <row r="13" spans="1:3" ht="76" customHeight="1">
      <c r="A13" s="3" t="s">
        <v>13</v>
      </c>
      <c r="B13" s="4">
        <f t="shared" si="0"/>
        <v>13119.946666666669</v>
      </c>
      <c r="C13" s="1">
        <f>128918.3+28521.06</f>
        <v>157439.36000000002</v>
      </c>
    </row>
    <row r="14" spans="1:3" ht="74.5" customHeight="1">
      <c r="A14" s="3" t="s">
        <v>14</v>
      </c>
      <c r="B14" s="4">
        <f t="shared" si="0"/>
        <v>11161.33</v>
      </c>
      <c r="C14" s="1">
        <f>36120.24+97815.72</f>
        <v>133935.96</v>
      </c>
    </row>
    <row r="15" spans="1:3" ht="65" customHeight="1">
      <c r="A15" s="3" t="s">
        <v>15</v>
      </c>
      <c r="B15" s="4">
        <f t="shared" si="0"/>
        <v>0</v>
      </c>
      <c r="C15" s="1"/>
    </row>
    <row r="16" spans="1:3" ht="15.5">
      <c r="A16" s="1" t="s">
        <v>16</v>
      </c>
      <c r="B16" s="4">
        <f t="shared" si="0"/>
        <v>3388.25</v>
      </c>
      <c r="C16" s="1">
        <v>40659</v>
      </c>
    </row>
    <row r="17" spans="1:3" ht="15.5">
      <c r="A17" s="1" t="s">
        <v>17</v>
      </c>
      <c r="B17" s="4">
        <f t="shared" si="0"/>
        <v>1829.05</v>
      </c>
      <c r="C17" s="1">
        <v>21948.6</v>
      </c>
    </row>
    <row r="18" spans="1:3" ht="15.5">
      <c r="A18" s="1" t="s">
        <v>18</v>
      </c>
      <c r="B18" s="4">
        <f t="shared" si="0"/>
        <v>177.24</v>
      </c>
      <c r="C18" s="1">
        <v>2126.88</v>
      </c>
    </row>
    <row r="19" spans="1:3" ht="15.5">
      <c r="A19" s="1" t="s">
        <v>19</v>
      </c>
      <c r="B19" s="4">
        <f t="shared" si="0"/>
        <v>0</v>
      </c>
      <c r="C19" s="1"/>
    </row>
    <row r="20" spans="1:3" ht="15.5">
      <c r="A20" s="1" t="s">
        <v>20</v>
      </c>
      <c r="B20" s="4">
        <f t="shared" si="0"/>
        <v>940.38083333333327</v>
      </c>
      <c r="C20" s="1">
        <v>11284.57</v>
      </c>
    </row>
    <row r="21" spans="1:3" ht="15.5">
      <c r="A21" s="1" t="s">
        <v>21</v>
      </c>
      <c r="B21" s="4">
        <f t="shared" si="0"/>
        <v>1203.0533333333333</v>
      </c>
      <c r="C21" s="1">
        <v>14436.64</v>
      </c>
    </row>
    <row r="22" spans="1:3" ht="15.5">
      <c r="A22" s="1" t="s">
        <v>22</v>
      </c>
      <c r="B22" s="4">
        <f t="shared" si="0"/>
        <v>4562.2933333333331</v>
      </c>
      <c r="C22" s="1">
        <v>54747.519999999997</v>
      </c>
    </row>
    <row r="23" spans="1:3" ht="15.5">
      <c r="A23" s="1" t="s">
        <v>23</v>
      </c>
      <c r="B23" s="4">
        <f t="shared" si="0"/>
        <v>901.58583333333343</v>
      </c>
      <c r="C23" s="1">
        <v>10819.03</v>
      </c>
    </row>
    <row r="24" spans="1:3" ht="15.5">
      <c r="A24" s="1" t="s">
        <v>24</v>
      </c>
      <c r="B24" s="4">
        <f t="shared" si="0"/>
        <v>3265.7591666666667</v>
      </c>
      <c r="C24" s="1">
        <v>39189.11</v>
      </c>
    </row>
    <row r="25" spans="1:3" ht="15.5">
      <c r="A25" s="1" t="s">
        <v>25</v>
      </c>
      <c r="B25" s="4">
        <f t="shared" si="0"/>
        <v>247.03166666666667</v>
      </c>
      <c r="C25" s="1">
        <v>2964.38</v>
      </c>
    </row>
    <row r="26" spans="1:3" ht="15.5">
      <c r="A26" s="1" t="s">
        <v>26</v>
      </c>
      <c r="B26" s="4">
        <f t="shared" si="0"/>
        <v>0</v>
      </c>
      <c r="C26" s="1"/>
    </row>
    <row r="27" spans="1:3" ht="15.5">
      <c r="A27" s="1" t="s">
        <v>27</v>
      </c>
      <c r="B27" s="4">
        <f t="shared" si="0"/>
        <v>10374.64</v>
      </c>
      <c r="C27" s="1">
        <v>124495.67999999999</v>
      </c>
    </row>
    <row r="28" spans="1:3" ht="24.5" customHeight="1">
      <c r="A28" s="2" t="s">
        <v>28</v>
      </c>
      <c r="B28" s="4">
        <f t="shared" si="0"/>
        <v>51170.560833333329</v>
      </c>
      <c r="C28" s="2">
        <f>SUM(C13:C27)</f>
        <v>614046.73</v>
      </c>
    </row>
    <row r="29" spans="1:3" ht="22.5" customHeight="1">
      <c r="A29" s="2" t="s">
        <v>29</v>
      </c>
      <c r="B29" s="1"/>
      <c r="C29" s="2">
        <v>127117.7</v>
      </c>
    </row>
    <row r="30" spans="1:3" ht="31" customHeight="1">
      <c r="A30" s="2" t="s">
        <v>30</v>
      </c>
      <c r="B30" s="1"/>
      <c r="C30" s="2"/>
    </row>
    <row r="31" spans="1:3" ht="30.5" customHeight="1">
      <c r="A31" s="3" t="s">
        <v>31</v>
      </c>
      <c r="B31" s="1"/>
      <c r="C31" s="1">
        <v>73608.88</v>
      </c>
    </row>
    <row r="32" spans="1:3" ht="62" hidden="1">
      <c r="A32" s="3" t="s">
        <v>32</v>
      </c>
      <c r="B32" s="1"/>
      <c r="C32" s="1"/>
    </row>
    <row r="33" spans="1:3" ht="23.5" customHeight="1">
      <c r="A33" s="2" t="s">
        <v>33</v>
      </c>
      <c r="B33" s="2"/>
      <c r="C33" s="2">
        <v>53508.82</v>
      </c>
    </row>
    <row r="34" spans="1:3" ht="25" customHeight="1">
      <c r="A34" s="1" t="s">
        <v>34</v>
      </c>
      <c r="B34" s="1"/>
      <c r="C34" s="1"/>
    </row>
    <row r="35" spans="1:3" ht="34.5" customHeight="1">
      <c r="A35" s="1" t="s">
        <v>35</v>
      </c>
      <c r="B35" s="1"/>
      <c r="C35" s="1"/>
    </row>
    <row r="36" spans="1:3" ht="24.5" customHeight="1">
      <c r="A36" s="1" t="s">
        <v>64</v>
      </c>
      <c r="B36" s="1"/>
      <c r="C36" s="1"/>
    </row>
    <row r="37" spans="1:3" ht="25" customHeight="1">
      <c r="A37" s="1" t="s">
        <v>36</v>
      </c>
      <c r="B37" s="1"/>
      <c r="C37" s="1"/>
    </row>
  </sheetData>
  <pageMargins left="0.7" right="0.7" top="0.75" bottom="0.75" header="0.3" footer="0.3"/>
  <pageSetup paperSize="9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C37"/>
  <sheetViews>
    <sheetView workbookViewId="0">
      <selection activeCell="D12" sqref="D12"/>
    </sheetView>
  </sheetViews>
  <sheetFormatPr defaultRowHeight="14.5"/>
  <cols>
    <col min="1" max="1" width="45.1796875" customWidth="1"/>
    <col min="2" max="2" width="13.6328125" customWidth="1"/>
    <col min="3" max="3" width="14.6328125" customWidth="1"/>
  </cols>
  <sheetData>
    <row r="1" spans="1:3" ht="15.5">
      <c r="A1" s="1" t="s">
        <v>0</v>
      </c>
      <c r="B1" s="1"/>
      <c r="C1" s="1"/>
    </row>
    <row r="2" spans="1:3" ht="15.5">
      <c r="A2" s="1" t="s">
        <v>75</v>
      </c>
      <c r="B2" s="1" t="s">
        <v>48</v>
      </c>
      <c r="C2" s="1"/>
    </row>
    <row r="3" spans="1:3" ht="15.5">
      <c r="A3" s="1" t="s">
        <v>3</v>
      </c>
      <c r="B3" s="1"/>
      <c r="C3" s="1"/>
    </row>
    <row r="4" spans="1:3" ht="15.5">
      <c r="A4" s="1" t="s">
        <v>4</v>
      </c>
      <c r="B4" s="1"/>
      <c r="C4" s="1"/>
    </row>
    <row r="5" spans="1:3" ht="15.5">
      <c r="A5" s="1" t="s">
        <v>37</v>
      </c>
      <c r="B5" s="1"/>
      <c r="C5" s="1"/>
    </row>
    <row r="6" spans="1:3" ht="15.5">
      <c r="A6" s="1"/>
      <c r="B6" s="1"/>
      <c r="C6" s="1"/>
    </row>
    <row r="7" spans="1:3" ht="15.5">
      <c r="A7" s="1" t="s">
        <v>5</v>
      </c>
      <c r="B7" s="1" t="s">
        <v>6</v>
      </c>
      <c r="C7" s="1" t="s">
        <v>7</v>
      </c>
    </row>
    <row r="8" spans="1:3" ht="15.5">
      <c r="A8" s="2" t="s">
        <v>8</v>
      </c>
      <c r="B8" s="1"/>
      <c r="C8" s="2">
        <v>175031.4</v>
      </c>
    </row>
    <row r="9" spans="1:3" ht="43.5" customHeight="1">
      <c r="A9" s="3" t="s">
        <v>9</v>
      </c>
      <c r="B9" s="4">
        <f>C9/12</f>
        <v>67268.156666666662</v>
      </c>
      <c r="C9" s="1">
        <v>807217.88</v>
      </c>
    </row>
    <row r="10" spans="1:3" ht="46.5" customHeight="1">
      <c r="A10" s="3" t="s">
        <v>10</v>
      </c>
      <c r="B10" s="4">
        <f t="shared" ref="B10:B28" si="0">C10/12</f>
        <v>19462.558333333334</v>
      </c>
      <c r="C10" s="1">
        <f>201075.7+32475</f>
        <v>233550.7</v>
      </c>
    </row>
    <row r="11" spans="1:3" ht="19" customHeight="1">
      <c r="A11" s="2" t="s">
        <v>11</v>
      </c>
      <c r="B11" s="4">
        <f t="shared" si="0"/>
        <v>86730.715000000011</v>
      </c>
      <c r="C11" s="2">
        <f>SUM(C9:C10)</f>
        <v>1040768.5800000001</v>
      </c>
    </row>
    <row r="12" spans="1:3" ht="15" customHeight="1">
      <c r="A12" s="2" t="s">
        <v>12</v>
      </c>
      <c r="B12" s="4">
        <f t="shared" si="0"/>
        <v>0</v>
      </c>
      <c r="C12" s="1"/>
    </row>
    <row r="13" spans="1:3" ht="77.5" customHeight="1">
      <c r="A13" s="3" t="s">
        <v>13</v>
      </c>
      <c r="B13" s="4">
        <f t="shared" si="0"/>
        <v>22361.420000000002</v>
      </c>
      <c r="C13" s="1">
        <f>219726.2+48610.84</f>
        <v>268337.04000000004</v>
      </c>
    </row>
    <row r="14" spans="1:3" ht="80" customHeight="1">
      <c r="A14" s="3" t="s">
        <v>14</v>
      </c>
      <c r="B14" s="4">
        <f t="shared" si="0"/>
        <v>14712.061666666666</v>
      </c>
      <c r="C14" s="1">
        <f>40983.46+135561.28</f>
        <v>176544.74</v>
      </c>
    </row>
    <row r="15" spans="1:3" ht="62">
      <c r="A15" s="3" t="s">
        <v>15</v>
      </c>
      <c r="B15" s="4">
        <f t="shared" si="0"/>
        <v>0</v>
      </c>
      <c r="C15" s="1"/>
    </row>
    <row r="16" spans="1:3" ht="15.5">
      <c r="A16" s="1" t="s">
        <v>16</v>
      </c>
      <c r="B16" s="4">
        <f t="shared" si="0"/>
        <v>3128.75</v>
      </c>
      <c r="C16" s="1">
        <v>37545</v>
      </c>
    </row>
    <row r="17" spans="1:3" ht="15.5">
      <c r="A17" s="1" t="s">
        <v>17</v>
      </c>
      <c r="B17" s="4">
        <f t="shared" si="0"/>
        <v>3182.7099999999996</v>
      </c>
      <c r="C17" s="1">
        <v>38192.519999999997</v>
      </c>
    </row>
    <row r="18" spans="1:3" ht="15.5">
      <c r="A18" s="1" t="s">
        <v>18</v>
      </c>
      <c r="B18" s="4">
        <f t="shared" si="0"/>
        <v>113.14</v>
      </c>
      <c r="C18" s="1">
        <v>1357.68</v>
      </c>
    </row>
    <row r="19" spans="1:3" ht="15.5">
      <c r="A19" s="1" t="s">
        <v>19</v>
      </c>
      <c r="B19" s="4">
        <f t="shared" si="0"/>
        <v>0</v>
      </c>
      <c r="C19" s="1"/>
    </row>
    <row r="20" spans="1:3" ht="15.5">
      <c r="A20" s="1" t="s">
        <v>20</v>
      </c>
      <c r="B20" s="4">
        <f t="shared" si="0"/>
        <v>1375.3074999999999</v>
      </c>
      <c r="C20" s="1">
        <v>16503.689999999999</v>
      </c>
    </row>
    <row r="21" spans="1:3" ht="15.5">
      <c r="A21" s="1" t="s">
        <v>21</v>
      </c>
      <c r="B21" s="4">
        <f t="shared" si="0"/>
        <v>1888.1833333333334</v>
      </c>
      <c r="C21" s="1">
        <v>22658.2</v>
      </c>
    </row>
    <row r="22" spans="1:3" ht="15.5">
      <c r="A22" s="1" t="s">
        <v>22</v>
      </c>
      <c r="B22" s="4">
        <f t="shared" si="0"/>
        <v>8002.0441666666666</v>
      </c>
      <c r="C22" s="1">
        <v>96024.53</v>
      </c>
    </row>
    <row r="23" spans="1:3" ht="15.5">
      <c r="A23" s="1" t="s">
        <v>23</v>
      </c>
      <c r="B23" s="4">
        <f t="shared" si="0"/>
        <v>742.21916666666664</v>
      </c>
      <c r="C23" s="1">
        <v>8906.6299999999992</v>
      </c>
    </row>
    <row r="24" spans="1:3" ht="15.5">
      <c r="A24" s="1" t="s">
        <v>24</v>
      </c>
      <c r="B24" s="4">
        <f t="shared" si="0"/>
        <v>5157.7433333333329</v>
      </c>
      <c r="C24" s="1">
        <v>61892.92</v>
      </c>
    </row>
    <row r="25" spans="1:3" ht="15.5">
      <c r="A25" s="1" t="s">
        <v>25</v>
      </c>
      <c r="B25" s="4">
        <f t="shared" si="0"/>
        <v>367.77333333333331</v>
      </c>
      <c r="C25" s="1">
        <v>4413.28</v>
      </c>
    </row>
    <row r="26" spans="1:3" ht="15.5">
      <c r="A26" s="1" t="s">
        <v>26</v>
      </c>
      <c r="B26" s="4">
        <f t="shared" si="0"/>
        <v>0</v>
      </c>
      <c r="C26" s="1"/>
    </row>
    <row r="27" spans="1:3" ht="15.5">
      <c r="A27" s="1" t="s">
        <v>27</v>
      </c>
      <c r="B27" s="4">
        <f t="shared" si="0"/>
        <v>18196.62</v>
      </c>
      <c r="C27" s="1">
        <v>218359.44</v>
      </c>
    </row>
    <row r="28" spans="1:3" ht="15.5">
      <c r="A28" s="2" t="s">
        <v>28</v>
      </c>
      <c r="B28" s="4">
        <f t="shared" si="0"/>
        <v>79227.972500000018</v>
      </c>
      <c r="C28" s="2">
        <f>SUM(C13:C27)</f>
        <v>950735.67000000016</v>
      </c>
    </row>
    <row r="29" spans="1:3" ht="22" customHeight="1">
      <c r="A29" s="2" t="s">
        <v>29</v>
      </c>
      <c r="B29" s="1"/>
      <c r="C29" s="2">
        <v>265064.31</v>
      </c>
    </row>
    <row r="30" spans="1:3" ht="23.5" customHeight="1">
      <c r="A30" s="2" t="s">
        <v>30</v>
      </c>
      <c r="B30" s="1"/>
      <c r="C30" s="2"/>
    </row>
    <row r="31" spans="1:3" ht="41" customHeight="1">
      <c r="A31" s="3" t="s">
        <v>31</v>
      </c>
      <c r="B31" s="1"/>
      <c r="C31" s="1">
        <v>238050.63</v>
      </c>
    </row>
    <row r="32" spans="1:3" ht="62" hidden="1">
      <c r="A32" s="3" t="s">
        <v>32</v>
      </c>
      <c r="B32" s="1"/>
      <c r="C32" s="1"/>
    </row>
    <row r="33" spans="1:3" ht="26" customHeight="1">
      <c r="A33" s="2" t="s">
        <v>33</v>
      </c>
      <c r="B33" s="2"/>
      <c r="C33" s="2">
        <v>27013.68</v>
      </c>
    </row>
    <row r="34" spans="1:3" ht="28" customHeight="1">
      <c r="A34" s="1" t="s">
        <v>34</v>
      </c>
      <c r="B34" s="1"/>
      <c r="C34" s="1"/>
    </row>
    <row r="35" spans="1:3" ht="23" customHeight="1">
      <c r="A35" s="1" t="s">
        <v>35</v>
      </c>
      <c r="B35" s="1"/>
      <c r="C35" s="1"/>
    </row>
    <row r="36" spans="1:3" ht="27" customHeight="1">
      <c r="A36" s="1" t="s">
        <v>64</v>
      </c>
      <c r="B36" s="1"/>
      <c r="C36" s="1"/>
    </row>
    <row r="37" spans="1:3" ht="15.5">
      <c r="A37" s="1" t="s">
        <v>36</v>
      </c>
      <c r="B37" s="1"/>
      <c r="C37" s="1"/>
    </row>
  </sheetData>
  <pageMargins left="0.7" right="0.7" top="0.75" bottom="0.75" header="0.3" footer="0.3"/>
  <pageSetup paperSize="9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C37"/>
  <sheetViews>
    <sheetView workbookViewId="0">
      <selection activeCell="C34" sqref="C34"/>
    </sheetView>
  </sheetViews>
  <sheetFormatPr defaultRowHeight="14.5"/>
  <cols>
    <col min="1" max="1" width="41.81640625" customWidth="1"/>
    <col min="2" max="2" width="14.90625" customWidth="1"/>
    <col min="3" max="3" width="13.81640625" customWidth="1"/>
  </cols>
  <sheetData>
    <row r="1" spans="1:3" ht="15.5">
      <c r="A1" s="1" t="s">
        <v>0</v>
      </c>
      <c r="B1" s="1"/>
      <c r="C1" s="1"/>
    </row>
    <row r="2" spans="1:3" ht="15.5">
      <c r="A2" s="1" t="s">
        <v>76</v>
      </c>
      <c r="B2" s="1" t="s">
        <v>48</v>
      </c>
      <c r="C2" s="1"/>
    </row>
    <row r="3" spans="1:3" ht="15.5">
      <c r="A3" s="1" t="s">
        <v>3</v>
      </c>
      <c r="B3" s="1"/>
      <c r="C3" s="1"/>
    </row>
    <row r="4" spans="1:3" ht="15.5">
      <c r="A4" s="1" t="s">
        <v>4</v>
      </c>
      <c r="B4" s="1"/>
      <c r="C4" s="1"/>
    </row>
    <row r="5" spans="1:3" ht="15.5">
      <c r="A5" s="1" t="s">
        <v>116</v>
      </c>
      <c r="B5" s="1"/>
      <c r="C5" s="1"/>
    </row>
    <row r="6" spans="1:3" ht="15.5">
      <c r="A6" s="1"/>
      <c r="B6" s="1"/>
      <c r="C6" s="1"/>
    </row>
    <row r="7" spans="1:3" ht="15.5">
      <c r="A7" s="1" t="s">
        <v>5</v>
      </c>
      <c r="B7" s="1" t="s">
        <v>6</v>
      </c>
      <c r="C7" s="1" t="s">
        <v>7</v>
      </c>
    </row>
    <row r="8" spans="1:3" ht="15.5">
      <c r="A8" s="2" t="s">
        <v>8</v>
      </c>
      <c r="B8" s="1"/>
      <c r="C8" s="2">
        <v>112919.32</v>
      </c>
    </row>
    <row r="9" spans="1:3" ht="51.5" customHeight="1">
      <c r="A9" s="3" t="s">
        <v>9</v>
      </c>
      <c r="B9" s="4">
        <f>C9/12</f>
        <v>35925.192499999997</v>
      </c>
      <c r="C9" s="1">
        <v>431102.31</v>
      </c>
    </row>
    <row r="10" spans="1:3" ht="45.5" customHeight="1">
      <c r="A10" s="3" t="s">
        <v>10</v>
      </c>
      <c r="B10" s="4">
        <f t="shared" ref="B10:B28" si="0">C10/12</f>
        <v>1579.5833333333333</v>
      </c>
      <c r="C10" s="1">
        <v>18955</v>
      </c>
    </row>
    <row r="11" spans="1:3" ht="18.5" customHeight="1">
      <c r="A11" s="2" t="s">
        <v>11</v>
      </c>
      <c r="B11" s="4">
        <f t="shared" si="0"/>
        <v>37504.775833333333</v>
      </c>
      <c r="C11" s="2">
        <f>SUM(C9:C10)</f>
        <v>450057.31</v>
      </c>
    </row>
    <row r="12" spans="1:3" ht="15.5" customHeight="1">
      <c r="A12" s="2" t="s">
        <v>12</v>
      </c>
      <c r="B12" s="4">
        <f t="shared" si="0"/>
        <v>0</v>
      </c>
      <c r="C12" s="1"/>
    </row>
    <row r="13" spans="1:3" ht="78" customHeight="1">
      <c r="A13" s="3" t="s">
        <v>13</v>
      </c>
      <c r="B13" s="4">
        <f t="shared" si="0"/>
        <v>9204.5700000000015</v>
      </c>
      <c r="C13" s="1">
        <f>90446.82+20008.02</f>
        <v>110454.84000000001</v>
      </c>
    </row>
    <row r="14" spans="1:3" ht="74" customHeight="1">
      <c r="A14" s="3" t="s">
        <v>14</v>
      </c>
      <c r="B14" s="4">
        <f t="shared" si="0"/>
        <v>5691.0066666666671</v>
      </c>
      <c r="C14" s="1">
        <f>25579.24+42712.84</f>
        <v>68292.08</v>
      </c>
    </row>
    <row r="15" spans="1:3" ht="62">
      <c r="A15" s="3" t="s">
        <v>15</v>
      </c>
      <c r="B15" s="4">
        <f t="shared" si="0"/>
        <v>0</v>
      </c>
      <c r="C15" s="1"/>
    </row>
    <row r="16" spans="1:3" ht="15.5">
      <c r="A16" s="1" t="s">
        <v>16</v>
      </c>
      <c r="B16" s="4">
        <f t="shared" si="0"/>
        <v>1884.3333333333333</v>
      </c>
      <c r="C16" s="1">
        <v>22612</v>
      </c>
    </row>
    <row r="17" spans="1:3" ht="15.5">
      <c r="A17" s="1" t="s">
        <v>17</v>
      </c>
      <c r="B17" s="4">
        <f t="shared" si="0"/>
        <v>1281.53</v>
      </c>
      <c r="C17" s="1">
        <v>15378.36</v>
      </c>
    </row>
    <row r="18" spans="1:3" ht="15.5">
      <c r="A18" s="1" t="s">
        <v>18</v>
      </c>
      <c r="B18" s="4">
        <f t="shared" si="0"/>
        <v>121.44</v>
      </c>
      <c r="C18" s="1">
        <v>1457.28</v>
      </c>
    </row>
    <row r="19" spans="1:3" ht="15.5">
      <c r="A19" s="1" t="s">
        <v>19</v>
      </c>
      <c r="B19" s="4">
        <f t="shared" si="0"/>
        <v>0</v>
      </c>
      <c r="C19" s="1"/>
    </row>
    <row r="20" spans="1:3" ht="15.5">
      <c r="A20" s="1" t="s">
        <v>20</v>
      </c>
      <c r="B20" s="4">
        <f t="shared" si="0"/>
        <v>705.28583333333336</v>
      </c>
      <c r="C20" s="1">
        <v>8463.43</v>
      </c>
    </row>
    <row r="21" spans="1:3" ht="15.5">
      <c r="A21" s="1" t="s">
        <v>21</v>
      </c>
      <c r="B21" s="4">
        <f t="shared" si="0"/>
        <v>822.01666666666677</v>
      </c>
      <c r="C21" s="1">
        <v>9864.2000000000007</v>
      </c>
    </row>
    <row r="22" spans="1:3" ht="15.5">
      <c r="A22" s="1" t="s">
        <v>22</v>
      </c>
      <c r="B22" s="4">
        <f t="shared" si="0"/>
        <v>3198.2099999999996</v>
      </c>
      <c r="C22" s="1">
        <v>38378.519999999997</v>
      </c>
    </row>
    <row r="23" spans="1:3" ht="15.5">
      <c r="A23" s="1" t="s">
        <v>23</v>
      </c>
      <c r="B23" s="4">
        <f t="shared" si="0"/>
        <v>1344.95</v>
      </c>
      <c r="C23" s="1">
        <v>16139.4</v>
      </c>
    </row>
    <row r="24" spans="1:3" ht="15.5">
      <c r="A24" s="1" t="s">
        <v>24</v>
      </c>
      <c r="B24" s="4">
        <f t="shared" si="0"/>
        <v>2230.3516666666669</v>
      </c>
      <c r="C24" s="1">
        <v>26764.22</v>
      </c>
    </row>
    <row r="25" spans="1:3" ht="15.5">
      <c r="A25" s="1" t="s">
        <v>25</v>
      </c>
      <c r="B25" s="4">
        <f t="shared" si="0"/>
        <v>191.51166666666666</v>
      </c>
      <c r="C25" s="1">
        <v>2298.14</v>
      </c>
    </row>
    <row r="26" spans="1:3" ht="15.5">
      <c r="A26" s="1" t="s">
        <v>26</v>
      </c>
      <c r="B26" s="4">
        <f t="shared" si="0"/>
        <v>0</v>
      </c>
      <c r="C26" s="1"/>
    </row>
    <row r="27" spans="1:3" ht="15.5">
      <c r="A27" s="1" t="s">
        <v>27</v>
      </c>
      <c r="B27" s="4">
        <f t="shared" si="0"/>
        <v>7272.7191666666668</v>
      </c>
      <c r="C27" s="1">
        <v>87272.63</v>
      </c>
    </row>
    <row r="28" spans="1:3" ht="15.5">
      <c r="A28" s="2" t="s">
        <v>28</v>
      </c>
      <c r="B28" s="4">
        <f t="shared" si="0"/>
        <v>33947.92500000001</v>
      </c>
      <c r="C28" s="2">
        <f>SUM(C13:C27)</f>
        <v>407375.10000000009</v>
      </c>
    </row>
    <row r="29" spans="1:3" ht="15.5">
      <c r="A29" s="2" t="s">
        <v>29</v>
      </c>
      <c r="B29" s="1"/>
      <c r="C29" s="2">
        <v>155601.53</v>
      </c>
    </row>
    <row r="30" spans="1:3" ht="15.5">
      <c r="A30" s="2" t="s">
        <v>30</v>
      </c>
      <c r="B30" s="1"/>
      <c r="C30" s="2"/>
    </row>
    <row r="31" spans="1:3" ht="46" customHeight="1">
      <c r="A31" s="3" t="s">
        <v>31</v>
      </c>
      <c r="B31" s="1"/>
      <c r="C31" s="1">
        <v>171810.56</v>
      </c>
    </row>
    <row r="32" spans="1:3" ht="62" hidden="1">
      <c r="A32" s="3" t="s">
        <v>32</v>
      </c>
      <c r="B32" s="1"/>
      <c r="C32" s="1"/>
    </row>
    <row r="33" spans="1:3" ht="34" customHeight="1">
      <c r="A33" s="2" t="s">
        <v>33</v>
      </c>
      <c r="B33" s="2"/>
      <c r="C33" s="2">
        <v>-16209.03</v>
      </c>
    </row>
    <row r="34" spans="1:3" ht="33.5" customHeight="1">
      <c r="A34" s="1" t="s">
        <v>34</v>
      </c>
      <c r="B34" s="1"/>
      <c r="C34" s="1"/>
    </row>
    <row r="35" spans="1:3" ht="32" customHeight="1">
      <c r="A35" s="1" t="s">
        <v>35</v>
      </c>
      <c r="B35" s="1"/>
      <c r="C35" s="1"/>
    </row>
    <row r="36" spans="1:3" ht="25" customHeight="1">
      <c r="A36" s="1" t="s">
        <v>64</v>
      </c>
      <c r="B36" s="1"/>
      <c r="C36" s="1"/>
    </row>
    <row r="37" spans="1:3" ht="26.5" customHeight="1">
      <c r="A37" s="1" t="s">
        <v>36</v>
      </c>
      <c r="B37" s="1"/>
      <c r="C37" s="1"/>
    </row>
  </sheetData>
  <pageMargins left="0.7" right="0.7" top="0.75" bottom="0.75" header="0.3" footer="0.3"/>
  <pageSetup paperSize="9"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C37"/>
  <sheetViews>
    <sheetView workbookViewId="0">
      <selection activeCell="B5" sqref="B5"/>
    </sheetView>
  </sheetViews>
  <sheetFormatPr defaultRowHeight="14.5"/>
  <cols>
    <col min="1" max="1" width="43.26953125" customWidth="1"/>
    <col min="2" max="2" width="16.36328125" customWidth="1"/>
    <col min="3" max="3" width="15.6328125" customWidth="1"/>
  </cols>
  <sheetData>
    <row r="1" spans="1:3" ht="15.5">
      <c r="A1" s="1" t="s">
        <v>0</v>
      </c>
      <c r="B1" s="1"/>
      <c r="C1" s="1"/>
    </row>
    <row r="2" spans="1:3" ht="15.5">
      <c r="A2" s="1" t="s">
        <v>77</v>
      </c>
      <c r="B2" s="1" t="s">
        <v>48</v>
      </c>
      <c r="C2" s="1"/>
    </row>
    <row r="3" spans="1:3" ht="15.5">
      <c r="A3" s="1" t="s">
        <v>3</v>
      </c>
      <c r="B3" s="1"/>
      <c r="C3" s="1"/>
    </row>
    <row r="4" spans="1:3" ht="15.5">
      <c r="A4" s="1" t="s">
        <v>4</v>
      </c>
      <c r="B4" s="1"/>
      <c r="C4" s="1"/>
    </row>
    <row r="5" spans="1:3" ht="15.5">
      <c r="A5" s="1" t="s">
        <v>116</v>
      </c>
      <c r="B5" s="1"/>
      <c r="C5" s="1"/>
    </row>
    <row r="6" spans="1:3" ht="8" customHeight="1">
      <c r="A6" s="1"/>
      <c r="B6" s="1"/>
      <c r="C6" s="1"/>
    </row>
    <row r="7" spans="1:3" ht="15.5">
      <c r="A7" s="1" t="s">
        <v>5</v>
      </c>
      <c r="B7" s="1" t="s">
        <v>6</v>
      </c>
      <c r="C7" s="1" t="s">
        <v>7</v>
      </c>
    </row>
    <row r="8" spans="1:3" ht="15.5">
      <c r="A8" s="2" t="s">
        <v>8</v>
      </c>
      <c r="B8" s="1"/>
      <c r="C8" s="2">
        <v>68908.42</v>
      </c>
    </row>
    <row r="9" spans="1:3" ht="44" customHeight="1">
      <c r="A9" s="3" t="s">
        <v>9</v>
      </c>
      <c r="B9" s="4">
        <f>C9/12</f>
        <v>48310.565833333334</v>
      </c>
      <c r="C9" s="1">
        <v>579726.79</v>
      </c>
    </row>
    <row r="10" spans="1:3" ht="47.5" customHeight="1">
      <c r="A10" s="3" t="s">
        <v>10</v>
      </c>
      <c r="B10" s="4">
        <f t="shared" ref="B10:B28" si="0">C10/12</f>
        <v>2064.4833333333331</v>
      </c>
      <c r="C10" s="1">
        <v>24773.8</v>
      </c>
    </row>
    <row r="11" spans="1:3" ht="17.5" customHeight="1">
      <c r="A11" s="2" t="s">
        <v>11</v>
      </c>
      <c r="B11" s="4">
        <f t="shared" si="0"/>
        <v>50375.049166666671</v>
      </c>
      <c r="C11" s="2">
        <f>SUM(C9:C10)</f>
        <v>604500.59000000008</v>
      </c>
    </row>
    <row r="12" spans="1:3" ht="16" customHeight="1">
      <c r="A12" s="2" t="s">
        <v>12</v>
      </c>
      <c r="B12" s="4">
        <f t="shared" si="0"/>
        <v>0</v>
      </c>
      <c r="C12" s="1"/>
    </row>
    <row r="13" spans="1:3" ht="77" customHeight="1">
      <c r="A13" s="3" t="s">
        <v>13</v>
      </c>
      <c r="B13" s="4">
        <f t="shared" si="0"/>
        <v>12613.78</v>
      </c>
      <c r="C13" s="1">
        <f>123944.6+27420.76</f>
        <v>151365.36000000002</v>
      </c>
    </row>
    <row r="14" spans="1:3" ht="77.5">
      <c r="A14" s="3" t="s">
        <v>14</v>
      </c>
      <c r="B14" s="4">
        <f t="shared" si="0"/>
        <v>11285.908333333333</v>
      </c>
      <c r="C14" s="1">
        <f>37583.9+97847</f>
        <v>135430.9</v>
      </c>
    </row>
    <row r="15" spans="1:3" ht="62">
      <c r="A15" s="3" t="s">
        <v>15</v>
      </c>
      <c r="B15" s="4">
        <f t="shared" si="0"/>
        <v>0</v>
      </c>
      <c r="C15" s="1"/>
    </row>
    <row r="16" spans="1:3" ht="15.5">
      <c r="A16" s="1" t="s">
        <v>16</v>
      </c>
      <c r="B16" s="4">
        <f t="shared" si="0"/>
        <v>1270.0833333333333</v>
      </c>
      <c r="C16" s="1">
        <v>15241</v>
      </c>
    </row>
    <row r="17" spans="1:3" ht="15.5">
      <c r="A17" s="1" t="s">
        <v>17</v>
      </c>
      <c r="B17" s="4">
        <f t="shared" si="0"/>
        <v>1745.8</v>
      </c>
      <c r="C17" s="1">
        <v>20949.599999999999</v>
      </c>
    </row>
    <row r="18" spans="1:3" ht="15.5">
      <c r="A18" s="1" t="s">
        <v>18</v>
      </c>
      <c r="B18" s="4">
        <f t="shared" si="0"/>
        <v>302.76</v>
      </c>
      <c r="C18" s="1">
        <v>3633.12</v>
      </c>
    </row>
    <row r="19" spans="1:3" ht="15.5">
      <c r="A19" s="1" t="s">
        <v>19</v>
      </c>
      <c r="B19" s="4">
        <f t="shared" si="0"/>
        <v>0</v>
      </c>
      <c r="C19" s="1"/>
    </row>
    <row r="20" spans="1:3" ht="15.5">
      <c r="A20" s="1" t="s">
        <v>20</v>
      </c>
      <c r="B20" s="4">
        <f t="shared" si="0"/>
        <v>940.38083333333327</v>
      </c>
      <c r="C20" s="1">
        <v>11284.57</v>
      </c>
    </row>
    <row r="21" spans="1:3" ht="15.5">
      <c r="A21" s="1" t="s">
        <v>21</v>
      </c>
      <c r="B21" s="4">
        <f t="shared" si="0"/>
        <v>1093.5758333333333</v>
      </c>
      <c r="C21" s="1">
        <v>13122.91</v>
      </c>
    </row>
    <row r="22" spans="1:3" ht="15.5">
      <c r="A22" s="1" t="s">
        <v>22</v>
      </c>
      <c r="B22" s="4">
        <f t="shared" si="0"/>
        <v>4354.8808333333336</v>
      </c>
      <c r="C22" s="1">
        <v>52258.57</v>
      </c>
    </row>
    <row r="23" spans="1:3" ht="15.5">
      <c r="A23" s="1" t="s">
        <v>23</v>
      </c>
      <c r="B23" s="4">
        <f t="shared" si="0"/>
        <v>492.75</v>
      </c>
      <c r="C23" s="1">
        <v>5913</v>
      </c>
    </row>
    <row r="24" spans="1:3" ht="15.5">
      <c r="A24" s="1" t="s">
        <v>24</v>
      </c>
      <c r="B24" s="4">
        <f t="shared" si="0"/>
        <v>2995.7275000000004</v>
      </c>
      <c r="C24" s="1">
        <v>35948.730000000003</v>
      </c>
    </row>
    <row r="25" spans="1:3" ht="15.5">
      <c r="A25" s="1" t="s">
        <v>25</v>
      </c>
      <c r="B25" s="4">
        <f t="shared" si="0"/>
        <v>287.83666666666664</v>
      </c>
      <c r="C25" s="1">
        <v>3454.04</v>
      </c>
    </row>
    <row r="26" spans="1:3" ht="15.5">
      <c r="A26" s="1" t="s">
        <v>26</v>
      </c>
      <c r="B26" s="4">
        <f t="shared" si="0"/>
        <v>0</v>
      </c>
      <c r="C26" s="1"/>
    </row>
    <row r="27" spans="1:3" ht="15.5">
      <c r="A27" s="1" t="s">
        <v>27</v>
      </c>
      <c r="B27" s="4">
        <f t="shared" si="0"/>
        <v>9902.9850000000006</v>
      </c>
      <c r="C27" s="1">
        <v>118835.82</v>
      </c>
    </row>
    <row r="28" spans="1:3" ht="18" customHeight="1">
      <c r="A28" s="2" t="s">
        <v>28</v>
      </c>
      <c r="B28" s="4">
        <f t="shared" si="0"/>
        <v>47286.468333333323</v>
      </c>
      <c r="C28" s="2">
        <f>SUM(C13:C27)</f>
        <v>567437.61999999988</v>
      </c>
    </row>
    <row r="29" spans="1:3" ht="23" customHeight="1">
      <c r="A29" s="2" t="s">
        <v>29</v>
      </c>
      <c r="B29" s="1"/>
      <c r="C29" s="2">
        <v>105971.39</v>
      </c>
    </row>
    <row r="30" spans="1:3" ht="25.5" customHeight="1">
      <c r="A30" s="2" t="s">
        <v>30</v>
      </c>
      <c r="B30" s="1"/>
      <c r="C30" s="2"/>
    </row>
    <row r="31" spans="1:3" ht="30.5" customHeight="1">
      <c r="A31" s="3" t="s">
        <v>31</v>
      </c>
      <c r="B31" s="1"/>
      <c r="C31" s="1">
        <v>101404.86</v>
      </c>
    </row>
    <row r="32" spans="1:3" ht="62" hidden="1">
      <c r="A32" s="3" t="s">
        <v>32</v>
      </c>
      <c r="B32" s="1"/>
      <c r="C32" s="1"/>
    </row>
    <row r="33" spans="1:3" ht="32" customHeight="1">
      <c r="A33" s="2" t="s">
        <v>33</v>
      </c>
      <c r="B33" s="2"/>
      <c r="C33" s="2">
        <v>4566.53</v>
      </c>
    </row>
    <row r="34" spans="1:3" ht="33" customHeight="1">
      <c r="A34" s="1" t="s">
        <v>34</v>
      </c>
      <c r="B34" s="1"/>
      <c r="C34" s="1"/>
    </row>
    <row r="35" spans="1:3" ht="38" customHeight="1">
      <c r="A35" s="1" t="s">
        <v>35</v>
      </c>
      <c r="B35" s="1"/>
      <c r="C35" s="1"/>
    </row>
    <row r="36" spans="1:3" ht="33.5" customHeight="1">
      <c r="A36" s="1" t="s">
        <v>64</v>
      </c>
      <c r="B36" s="1"/>
      <c r="C36" s="1"/>
    </row>
    <row r="37" spans="1:3" ht="28.5" customHeight="1">
      <c r="A37" s="1" t="s">
        <v>36</v>
      </c>
      <c r="B37" s="1"/>
      <c r="C37" s="1"/>
    </row>
  </sheetData>
  <pageMargins left="0.7" right="0.7" top="0.75" bottom="0.75" header="0.3" footer="0.3"/>
  <pageSetup paperSize="9" orientation="portrait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C37"/>
  <sheetViews>
    <sheetView topLeftCell="A22" workbookViewId="0">
      <selection activeCell="C34" sqref="C34"/>
    </sheetView>
  </sheetViews>
  <sheetFormatPr defaultRowHeight="14.5"/>
  <cols>
    <col min="1" max="1" width="47.08984375" customWidth="1"/>
    <col min="2" max="2" width="15.81640625" customWidth="1"/>
    <col min="3" max="3" width="14.6328125" customWidth="1"/>
  </cols>
  <sheetData>
    <row r="1" spans="1:3" ht="15.5">
      <c r="A1" s="1" t="s">
        <v>0</v>
      </c>
      <c r="B1" s="1"/>
      <c r="C1" s="1"/>
    </row>
    <row r="2" spans="1:3" ht="15.5">
      <c r="A2" s="1" t="s">
        <v>78</v>
      </c>
      <c r="B2" s="1" t="s">
        <v>48</v>
      </c>
      <c r="C2" s="1"/>
    </row>
    <row r="3" spans="1:3" ht="15.5">
      <c r="A3" s="1" t="s">
        <v>3</v>
      </c>
      <c r="B3" s="1"/>
      <c r="C3" s="1"/>
    </row>
    <row r="4" spans="1:3" ht="15.5">
      <c r="A4" s="1" t="s">
        <v>4</v>
      </c>
      <c r="B4" s="1"/>
      <c r="C4" s="1"/>
    </row>
    <row r="5" spans="1:3" ht="15.5">
      <c r="A5" s="1" t="s">
        <v>116</v>
      </c>
      <c r="B5" s="1"/>
      <c r="C5" s="1"/>
    </row>
    <row r="6" spans="1:3" ht="15.5">
      <c r="A6" s="1"/>
      <c r="B6" s="1"/>
      <c r="C6" s="1"/>
    </row>
    <row r="7" spans="1:3" ht="15.5">
      <c r="A7" s="1" t="s">
        <v>5</v>
      </c>
      <c r="B7" s="1" t="s">
        <v>6</v>
      </c>
      <c r="C7" s="1" t="s">
        <v>7</v>
      </c>
    </row>
    <row r="8" spans="1:3" ht="15.5">
      <c r="A8" s="2" t="s">
        <v>8</v>
      </c>
      <c r="B8" s="1"/>
      <c r="C8" s="2">
        <v>-39715.360000000001</v>
      </c>
    </row>
    <row r="9" spans="1:3" ht="34" customHeight="1">
      <c r="A9" s="3" t="s">
        <v>9</v>
      </c>
      <c r="B9" s="4">
        <f>C9/12</f>
        <v>40380.065000000002</v>
      </c>
      <c r="C9" s="1">
        <v>484560.78</v>
      </c>
    </row>
    <row r="10" spans="1:3" ht="48.5" customHeight="1">
      <c r="A10" s="3" t="s">
        <v>10</v>
      </c>
      <c r="B10" s="4">
        <f t="shared" ref="B10:B28" si="0">C10/12</f>
        <v>6354.7683333333334</v>
      </c>
      <c r="C10" s="1">
        <f>48663.42+27593.8</f>
        <v>76257.22</v>
      </c>
    </row>
    <row r="11" spans="1:3" ht="16" customHeight="1">
      <c r="A11" s="2" t="s">
        <v>11</v>
      </c>
      <c r="B11" s="4">
        <f t="shared" si="0"/>
        <v>46734.833333333336</v>
      </c>
      <c r="C11" s="2">
        <f>SUM(C9:C10)</f>
        <v>560818</v>
      </c>
    </row>
    <row r="12" spans="1:3" ht="16.5" customHeight="1">
      <c r="A12" s="2" t="s">
        <v>12</v>
      </c>
      <c r="B12" s="4">
        <f t="shared" si="0"/>
        <v>0</v>
      </c>
      <c r="C12" s="1"/>
    </row>
    <row r="13" spans="1:3" ht="76.5" customHeight="1">
      <c r="A13" s="3" t="s">
        <v>13</v>
      </c>
      <c r="B13" s="4">
        <f t="shared" si="0"/>
        <v>11571.821666666669</v>
      </c>
      <c r="C13" s="1">
        <f>113715.8+25146.06</f>
        <v>138861.86000000002</v>
      </c>
    </row>
    <row r="14" spans="1:3" ht="77.5">
      <c r="A14" s="3" t="s">
        <v>14</v>
      </c>
      <c r="B14" s="4">
        <f t="shared" si="0"/>
        <v>9318.5566666666673</v>
      </c>
      <c r="C14" s="1">
        <f>30228.3+81594.38</f>
        <v>111822.68000000001</v>
      </c>
    </row>
    <row r="15" spans="1:3" ht="46.5">
      <c r="A15" s="3" t="s">
        <v>15</v>
      </c>
      <c r="B15" s="4">
        <f t="shared" si="0"/>
        <v>0</v>
      </c>
      <c r="C15" s="1"/>
    </row>
    <row r="16" spans="1:3" ht="15.5">
      <c r="A16" s="1" t="s">
        <v>16</v>
      </c>
      <c r="B16" s="4">
        <f t="shared" si="0"/>
        <v>1448</v>
      </c>
      <c r="C16" s="1">
        <v>17376</v>
      </c>
    </row>
    <row r="17" spans="1:3" ht="15.5">
      <c r="A17" s="1" t="s">
        <v>17</v>
      </c>
      <c r="B17" s="4">
        <f t="shared" si="0"/>
        <v>1663.74</v>
      </c>
      <c r="C17" s="1">
        <v>19964.88</v>
      </c>
    </row>
    <row r="18" spans="1:3" ht="15.5">
      <c r="A18" s="1" t="s">
        <v>18</v>
      </c>
      <c r="B18" s="4">
        <f t="shared" si="0"/>
        <v>168.70000000000002</v>
      </c>
      <c r="C18" s="1">
        <v>2024.4</v>
      </c>
    </row>
    <row r="19" spans="1:3" ht="15.5">
      <c r="A19" s="1" t="s">
        <v>19</v>
      </c>
      <c r="B19" s="4">
        <f t="shared" si="0"/>
        <v>0</v>
      </c>
      <c r="C19" s="1"/>
    </row>
    <row r="20" spans="1:3" ht="15.5">
      <c r="A20" s="1" t="s">
        <v>20</v>
      </c>
      <c r="B20" s="4">
        <f t="shared" si="0"/>
        <v>846.34333333333336</v>
      </c>
      <c r="C20" s="1">
        <v>10156.120000000001</v>
      </c>
    </row>
    <row r="21" spans="1:3" ht="15.5">
      <c r="A21" s="1" t="s">
        <v>21</v>
      </c>
      <c r="B21" s="4">
        <f t="shared" si="0"/>
        <v>1019.9458333333333</v>
      </c>
      <c r="C21" s="1">
        <v>12239.35</v>
      </c>
    </row>
    <row r="22" spans="1:3" ht="15.5">
      <c r="A22" s="1" t="s">
        <v>22</v>
      </c>
      <c r="B22" s="4">
        <f t="shared" si="0"/>
        <v>4186.1233333333339</v>
      </c>
      <c r="C22" s="1">
        <v>50233.48</v>
      </c>
    </row>
    <row r="23" spans="1:3" ht="15.5">
      <c r="A23" s="1" t="s">
        <v>23</v>
      </c>
      <c r="B23" s="4">
        <f t="shared" si="0"/>
        <v>553.67333333333329</v>
      </c>
      <c r="C23" s="1">
        <v>6644.08</v>
      </c>
    </row>
    <row r="24" spans="1:3" ht="15.5">
      <c r="A24" s="1" t="s">
        <v>24</v>
      </c>
      <c r="B24" s="4">
        <f t="shared" si="0"/>
        <v>2779.2491666666665</v>
      </c>
      <c r="C24" s="1">
        <v>33350.99</v>
      </c>
    </row>
    <row r="25" spans="1:3" ht="15.5">
      <c r="A25" s="1" t="s">
        <v>25</v>
      </c>
      <c r="B25" s="4">
        <f t="shared" si="0"/>
        <v>246.87666666666667</v>
      </c>
      <c r="C25" s="1">
        <v>2962.52</v>
      </c>
    </row>
    <row r="26" spans="1:3" ht="15.5">
      <c r="A26" s="1" t="s">
        <v>26</v>
      </c>
      <c r="B26" s="4">
        <f t="shared" si="0"/>
        <v>0</v>
      </c>
      <c r="C26" s="1"/>
    </row>
    <row r="27" spans="1:3" ht="15.5">
      <c r="A27" s="1" t="s">
        <v>27</v>
      </c>
      <c r="B27" s="4">
        <f t="shared" si="0"/>
        <v>9519.2308333333331</v>
      </c>
      <c r="C27" s="1">
        <v>114230.77</v>
      </c>
    </row>
    <row r="28" spans="1:3" ht="15.5">
      <c r="A28" s="2" t="s">
        <v>28</v>
      </c>
      <c r="B28" s="4">
        <f t="shared" si="0"/>
        <v>43322.260833333341</v>
      </c>
      <c r="C28" s="2">
        <f>SUM(C13:C27)</f>
        <v>519867.13000000006</v>
      </c>
    </row>
    <row r="29" spans="1:3" ht="23.5" customHeight="1">
      <c r="A29" s="2" t="s">
        <v>29</v>
      </c>
      <c r="B29" s="1"/>
      <c r="C29" s="2">
        <v>1235.51</v>
      </c>
    </row>
    <row r="30" spans="1:3" ht="26.5" customHeight="1">
      <c r="A30" s="2" t="s">
        <v>30</v>
      </c>
      <c r="B30" s="1"/>
      <c r="C30" s="2"/>
    </row>
    <row r="31" spans="1:3" ht="31">
      <c r="A31" s="3" t="s">
        <v>31</v>
      </c>
      <c r="B31" s="1"/>
      <c r="C31" s="1">
        <v>185384.78</v>
      </c>
    </row>
    <row r="32" spans="1:3" ht="0.5" customHeight="1">
      <c r="A32" s="3" t="s">
        <v>32</v>
      </c>
      <c r="B32" s="1"/>
      <c r="C32" s="1"/>
    </row>
    <row r="33" spans="1:3" ht="31.5" customHeight="1">
      <c r="A33" s="2" t="s">
        <v>33</v>
      </c>
      <c r="B33" s="2"/>
      <c r="C33" s="2">
        <v>-184149.27</v>
      </c>
    </row>
    <row r="34" spans="1:3" ht="41" customHeight="1">
      <c r="A34" s="1" t="s">
        <v>34</v>
      </c>
      <c r="B34" s="1"/>
      <c r="C34" s="1"/>
    </row>
    <row r="35" spans="1:3" ht="33.5" customHeight="1">
      <c r="A35" s="1" t="s">
        <v>35</v>
      </c>
      <c r="B35" s="1"/>
      <c r="C35" s="1"/>
    </row>
    <row r="36" spans="1:3" ht="33.5" customHeight="1">
      <c r="A36" s="1" t="s">
        <v>64</v>
      </c>
      <c r="B36" s="1"/>
      <c r="C36" s="1"/>
    </row>
    <row r="37" spans="1:3" ht="21" customHeight="1">
      <c r="A37" s="1" t="s">
        <v>36</v>
      </c>
      <c r="B37" s="1"/>
      <c r="C37" s="1"/>
    </row>
  </sheetData>
  <pageMargins left="0.7" right="0.7" top="0.75" bottom="0.75" header="0.3" footer="0.3"/>
  <pageSetup paperSize="9" orientation="portrait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C37"/>
  <sheetViews>
    <sheetView workbookViewId="0">
      <selection activeCell="C34" sqref="C34"/>
    </sheetView>
  </sheetViews>
  <sheetFormatPr defaultRowHeight="14.5"/>
  <cols>
    <col min="1" max="1" width="42.453125" customWidth="1"/>
    <col min="2" max="2" width="18" customWidth="1"/>
    <col min="3" max="3" width="14.6328125" customWidth="1"/>
  </cols>
  <sheetData>
    <row r="1" spans="1:3" ht="15.5">
      <c r="A1" s="1" t="s">
        <v>0</v>
      </c>
      <c r="B1" s="1"/>
      <c r="C1" s="1"/>
    </row>
    <row r="2" spans="1:3" ht="15.5">
      <c r="A2" s="1" t="s">
        <v>79</v>
      </c>
      <c r="B2" s="1" t="s">
        <v>48</v>
      </c>
      <c r="C2" s="1"/>
    </row>
    <row r="3" spans="1:3" ht="15.5">
      <c r="A3" s="1" t="s">
        <v>3</v>
      </c>
      <c r="B3" s="1"/>
      <c r="C3" s="1"/>
    </row>
    <row r="4" spans="1:3" ht="15.5">
      <c r="A4" s="1" t="s">
        <v>4</v>
      </c>
      <c r="B4" s="1"/>
      <c r="C4" s="1"/>
    </row>
    <row r="5" spans="1:3" ht="15.5">
      <c r="A5" s="1" t="s">
        <v>116</v>
      </c>
      <c r="B5" s="1"/>
      <c r="C5" s="1"/>
    </row>
    <row r="6" spans="1:3" ht="8.5" customHeight="1">
      <c r="A6" s="1"/>
      <c r="B6" s="1"/>
      <c r="C6" s="1"/>
    </row>
    <row r="7" spans="1:3" ht="15.5">
      <c r="A7" s="1" t="s">
        <v>5</v>
      </c>
      <c r="B7" s="1" t="s">
        <v>6</v>
      </c>
      <c r="C7" s="1" t="s">
        <v>7</v>
      </c>
    </row>
    <row r="8" spans="1:3" ht="15.5">
      <c r="A8" s="2" t="s">
        <v>8</v>
      </c>
      <c r="B8" s="1"/>
      <c r="C8" s="2">
        <v>77889.31</v>
      </c>
    </row>
    <row r="9" spans="1:3" ht="48" customHeight="1">
      <c r="A9" s="3" t="s">
        <v>9</v>
      </c>
      <c r="B9" s="4">
        <f>C9/12</f>
        <v>35849.100833333338</v>
      </c>
      <c r="C9" s="1">
        <f>430189.21</f>
        <v>430189.21</v>
      </c>
    </row>
    <row r="10" spans="1:3" ht="45.5" customHeight="1">
      <c r="A10" s="3" t="s">
        <v>10</v>
      </c>
      <c r="B10" s="4">
        <f t="shared" ref="B10:B28" si="0">C10/12</f>
        <v>2761.0450000000001</v>
      </c>
      <c r="C10" s="1">
        <f>9453.74+23678.8</f>
        <v>33132.54</v>
      </c>
    </row>
    <row r="11" spans="1:3" ht="17.5" customHeight="1">
      <c r="A11" s="2" t="s">
        <v>11</v>
      </c>
      <c r="B11" s="4">
        <f t="shared" si="0"/>
        <v>38610.145833333336</v>
      </c>
      <c r="C11" s="2">
        <f>SUM(C9:C10)</f>
        <v>463321.75</v>
      </c>
    </row>
    <row r="12" spans="1:3" ht="13.5" customHeight="1">
      <c r="A12" s="2" t="s">
        <v>12</v>
      </c>
      <c r="B12" s="4">
        <f t="shared" si="0"/>
        <v>0</v>
      </c>
      <c r="C12" s="1"/>
    </row>
    <row r="13" spans="1:3" ht="80" customHeight="1">
      <c r="A13" s="3" t="s">
        <v>13</v>
      </c>
      <c r="B13" s="4">
        <f t="shared" si="0"/>
        <v>9422.3283333333329</v>
      </c>
      <c r="C13" s="1">
        <f>92584.98+20482.96</f>
        <v>113067.94</v>
      </c>
    </row>
    <row r="14" spans="1:3" ht="77.5">
      <c r="A14" s="3" t="s">
        <v>14</v>
      </c>
      <c r="B14" s="4">
        <f t="shared" si="0"/>
        <v>6450.5883333333331</v>
      </c>
      <c r="C14" s="1">
        <f>25945.22+51461.84</f>
        <v>77407.06</v>
      </c>
    </row>
    <row r="15" spans="1:3" ht="62">
      <c r="A15" s="3" t="s">
        <v>15</v>
      </c>
      <c r="B15" s="4">
        <f t="shared" si="0"/>
        <v>0</v>
      </c>
      <c r="C15" s="1"/>
    </row>
    <row r="16" spans="1:3" ht="15.5">
      <c r="A16" s="1" t="s">
        <v>16</v>
      </c>
      <c r="B16" s="4">
        <f t="shared" si="0"/>
        <v>959.41666666666663</v>
      </c>
      <c r="C16" s="1">
        <v>11513</v>
      </c>
    </row>
    <row r="17" spans="1:3" ht="15.5">
      <c r="A17" s="1" t="s">
        <v>17</v>
      </c>
      <c r="B17" s="4">
        <f t="shared" si="0"/>
        <v>1313.47</v>
      </c>
      <c r="C17" s="1">
        <v>15761.64</v>
      </c>
    </row>
    <row r="18" spans="1:3" ht="15.5">
      <c r="A18" s="1" t="s">
        <v>18</v>
      </c>
      <c r="B18" s="4">
        <f t="shared" si="0"/>
        <v>0</v>
      </c>
      <c r="C18" s="1"/>
    </row>
    <row r="19" spans="1:3" ht="15.5">
      <c r="A19" s="1" t="s">
        <v>19</v>
      </c>
      <c r="B19" s="4">
        <f t="shared" si="0"/>
        <v>0</v>
      </c>
      <c r="C19" s="1"/>
    </row>
    <row r="20" spans="1:3" ht="15.5">
      <c r="A20" s="1" t="s">
        <v>20</v>
      </c>
      <c r="B20" s="4">
        <f t="shared" si="0"/>
        <v>681.77666666666664</v>
      </c>
      <c r="C20" s="1">
        <v>8181.32</v>
      </c>
    </row>
    <row r="21" spans="1:3" ht="15.5">
      <c r="A21" s="1" t="s">
        <v>21</v>
      </c>
      <c r="B21" s="4">
        <f t="shared" si="0"/>
        <v>841.74249999999995</v>
      </c>
      <c r="C21" s="1">
        <v>10100.91</v>
      </c>
    </row>
    <row r="22" spans="1:3" ht="15.5">
      <c r="A22" s="1" t="s">
        <v>22</v>
      </c>
      <c r="B22" s="4">
        <f t="shared" si="0"/>
        <v>3276.4408333333336</v>
      </c>
      <c r="C22" s="1">
        <v>39317.29</v>
      </c>
    </row>
    <row r="23" spans="1:3" ht="15.5">
      <c r="A23" s="1" t="s">
        <v>23</v>
      </c>
      <c r="B23" s="4">
        <f t="shared" si="0"/>
        <v>426.125</v>
      </c>
      <c r="C23" s="1">
        <v>5113.5</v>
      </c>
    </row>
    <row r="24" spans="1:3" ht="15.5">
      <c r="A24" s="1" t="s">
        <v>24</v>
      </c>
      <c r="B24" s="4">
        <f t="shared" si="0"/>
        <v>2296.0866666666666</v>
      </c>
      <c r="C24" s="1">
        <v>27553.040000000001</v>
      </c>
    </row>
    <row r="25" spans="1:3" ht="15.5">
      <c r="A25" s="1" t="s">
        <v>25</v>
      </c>
      <c r="B25" s="4">
        <f t="shared" si="0"/>
        <v>191.51166666666666</v>
      </c>
      <c r="C25" s="1">
        <v>2298.14</v>
      </c>
    </row>
    <row r="26" spans="1:3" ht="15.5">
      <c r="A26" s="1" t="s">
        <v>26</v>
      </c>
      <c r="B26" s="4">
        <f t="shared" si="0"/>
        <v>0</v>
      </c>
      <c r="C26" s="1"/>
    </row>
    <row r="27" spans="1:3" ht="15.5">
      <c r="A27" s="1" t="s">
        <v>27</v>
      </c>
      <c r="B27" s="4">
        <f t="shared" si="0"/>
        <v>7450.6150000000007</v>
      </c>
      <c r="C27" s="1">
        <v>89407.38</v>
      </c>
    </row>
    <row r="28" spans="1:3" ht="15.5">
      <c r="A28" s="2" t="s">
        <v>28</v>
      </c>
      <c r="B28" s="4">
        <f t="shared" si="0"/>
        <v>33310.101666666669</v>
      </c>
      <c r="C28" s="2">
        <f>SUM(C13:C27)</f>
        <v>399721.22000000003</v>
      </c>
    </row>
    <row r="29" spans="1:3" ht="27.5" customHeight="1">
      <c r="A29" s="2" t="s">
        <v>29</v>
      </c>
      <c r="B29" s="1"/>
      <c r="C29" s="2">
        <v>141489.84</v>
      </c>
    </row>
    <row r="30" spans="1:3" ht="28.5" customHeight="1">
      <c r="A30" s="2" t="s">
        <v>30</v>
      </c>
      <c r="B30" s="1"/>
      <c r="C30" s="2"/>
    </row>
    <row r="31" spans="1:3" ht="38.5" customHeight="1">
      <c r="A31" s="3" t="s">
        <v>31</v>
      </c>
      <c r="B31" s="1"/>
      <c r="C31" s="1">
        <v>106551.49</v>
      </c>
    </row>
    <row r="32" spans="1:3" ht="1" customHeight="1">
      <c r="A32" s="3" t="s">
        <v>32</v>
      </c>
      <c r="B32" s="1"/>
      <c r="C32" s="1"/>
    </row>
    <row r="33" spans="1:3" ht="31.5" customHeight="1">
      <c r="A33" s="2" t="s">
        <v>33</v>
      </c>
      <c r="B33" s="2"/>
      <c r="C33" s="2">
        <v>34938.35</v>
      </c>
    </row>
    <row r="34" spans="1:3" ht="36.5" customHeight="1">
      <c r="A34" s="1" t="s">
        <v>34</v>
      </c>
      <c r="B34" s="1"/>
      <c r="C34" s="1"/>
    </row>
    <row r="35" spans="1:3" ht="38" customHeight="1">
      <c r="A35" s="1" t="s">
        <v>35</v>
      </c>
      <c r="B35" s="1"/>
      <c r="C35" s="1"/>
    </row>
    <row r="36" spans="1:3" ht="29" customHeight="1">
      <c r="A36" s="1" t="s">
        <v>64</v>
      </c>
      <c r="B36" s="1"/>
      <c r="C36" s="1"/>
    </row>
    <row r="37" spans="1:3" ht="15.5">
      <c r="A37" s="1" t="s">
        <v>36</v>
      </c>
      <c r="B37" s="1"/>
      <c r="C37" s="1"/>
    </row>
  </sheetData>
  <pageMargins left="0.7" right="0.7" top="0.75" bottom="0.75" header="0.3" footer="0.3"/>
  <pageSetup paperSize="9" orientation="portrait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C37"/>
  <sheetViews>
    <sheetView workbookViewId="0">
      <selection activeCell="C34" sqref="C34"/>
    </sheetView>
  </sheetViews>
  <sheetFormatPr defaultRowHeight="14.5"/>
  <cols>
    <col min="1" max="1" width="42.7265625" customWidth="1"/>
    <col min="2" max="2" width="16.08984375" customWidth="1"/>
    <col min="3" max="3" width="15.7265625" customWidth="1"/>
  </cols>
  <sheetData>
    <row r="1" spans="1:3" ht="15.5">
      <c r="A1" s="1" t="s">
        <v>0</v>
      </c>
      <c r="B1" s="1"/>
      <c r="C1" s="1"/>
    </row>
    <row r="2" spans="1:3" ht="15.5">
      <c r="A2" s="1" t="s">
        <v>80</v>
      </c>
      <c r="B2" s="1" t="s">
        <v>48</v>
      </c>
      <c r="C2" s="1"/>
    </row>
    <row r="3" spans="1:3" ht="15.5">
      <c r="A3" s="1" t="s">
        <v>3</v>
      </c>
      <c r="B3" s="1"/>
      <c r="C3" s="1"/>
    </row>
    <row r="4" spans="1:3" ht="15.5">
      <c r="A4" s="1" t="s">
        <v>4</v>
      </c>
      <c r="B4" s="1"/>
      <c r="C4" s="1"/>
    </row>
    <row r="5" spans="1:3" ht="15.5">
      <c r="A5" s="1" t="s">
        <v>116</v>
      </c>
      <c r="B5" s="1"/>
      <c r="C5" s="1"/>
    </row>
    <row r="6" spans="1:3" ht="15.5">
      <c r="A6" s="1"/>
      <c r="B6" s="1"/>
      <c r="C6" s="1"/>
    </row>
    <row r="7" spans="1:3" ht="15.5">
      <c r="A7" s="1" t="s">
        <v>5</v>
      </c>
      <c r="B7" s="1" t="s">
        <v>6</v>
      </c>
      <c r="C7" s="1" t="s">
        <v>7</v>
      </c>
    </row>
    <row r="8" spans="1:3" ht="15.5">
      <c r="A8" s="2" t="s">
        <v>8</v>
      </c>
      <c r="B8" s="1"/>
      <c r="C8" s="2">
        <v>-121579.54</v>
      </c>
    </row>
    <row r="9" spans="1:3" ht="46.5">
      <c r="A9" s="3" t="s">
        <v>9</v>
      </c>
      <c r="B9" s="4">
        <f>C9/12</f>
        <v>47265.597500000003</v>
      </c>
      <c r="C9" s="1">
        <v>567187.17000000004</v>
      </c>
    </row>
    <row r="10" spans="1:3" ht="51.5" customHeight="1">
      <c r="A10" s="3" t="s">
        <v>10</v>
      </c>
      <c r="B10" s="4">
        <f t="shared" ref="B10:B28" si="0">C10/12</f>
        <v>1814.4833333333333</v>
      </c>
      <c r="C10" s="1">
        <v>21773.8</v>
      </c>
    </row>
    <row r="11" spans="1:3" ht="15.5">
      <c r="A11" s="2" t="s">
        <v>11</v>
      </c>
      <c r="B11" s="4">
        <f t="shared" si="0"/>
        <v>49080.080833333341</v>
      </c>
      <c r="C11" s="2">
        <f>SUM(C9:C10)</f>
        <v>588960.97000000009</v>
      </c>
    </row>
    <row r="12" spans="1:3" ht="15.5">
      <c r="A12" s="2" t="s">
        <v>12</v>
      </c>
      <c r="B12" s="4">
        <f t="shared" si="0"/>
        <v>0</v>
      </c>
      <c r="C12" s="1"/>
    </row>
    <row r="13" spans="1:3" ht="76.5" customHeight="1">
      <c r="A13" s="3" t="s">
        <v>13</v>
      </c>
      <c r="B13" s="4">
        <f t="shared" si="0"/>
        <v>12729.768333333333</v>
      </c>
      <c r="C13" s="1">
        <f>125084.3+27672.92</f>
        <v>152757.22</v>
      </c>
    </row>
    <row r="14" spans="1:3" ht="77.5">
      <c r="A14" s="3" t="s">
        <v>14</v>
      </c>
      <c r="B14" s="4">
        <f t="shared" si="0"/>
        <v>12441.691666666666</v>
      </c>
      <c r="C14" s="1">
        <f>54274.82+95025.48</f>
        <v>149300.29999999999</v>
      </c>
    </row>
    <row r="15" spans="1:3" ht="65.5" customHeight="1">
      <c r="A15" s="3" t="s">
        <v>15</v>
      </c>
      <c r="B15" s="4">
        <f t="shared" si="0"/>
        <v>0</v>
      </c>
      <c r="C15" s="1"/>
    </row>
    <row r="16" spans="1:3" ht="15.5">
      <c r="A16" s="1" t="s">
        <v>16</v>
      </c>
      <c r="B16" s="4">
        <f t="shared" si="0"/>
        <v>763.91666666666663</v>
      </c>
      <c r="C16" s="1">
        <v>9167</v>
      </c>
    </row>
    <row r="17" spans="1:3" ht="15.5">
      <c r="A17" s="1" t="s">
        <v>17</v>
      </c>
      <c r="B17" s="4">
        <f t="shared" si="0"/>
        <v>1689.8400000000001</v>
      </c>
      <c r="C17" s="1">
        <v>20278.080000000002</v>
      </c>
    </row>
    <row r="18" spans="1:3" ht="15.5">
      <c r="A18" s="1" t="s">
        <v>18</v>
      </c>
      <c r="B18" s="4">
        <f t="shared" si="0"/>
        <v>180.70000000000002</v>
      </c>
      <c r="C18" s="1">
        <v>2168.4</v>
      </c>
    </row>
    <row r="19" spans="1:3" ht="15.5">
      <c r="A19" s="1" t="s">
        <v>19</v>
      </c>
      <c r="B19" s="4">
        <f t="shared" si="0"/>
        <v>0</v>
      </c>
      <c r="C19" s="1"/>
    </row>
    <row r="20" spans="1:3" ht="15.5">
      <c r="A20" s="1" t="s">
        <v>20</v>
      </c>
      <c r="B20" s="4">
        <f t="shared" si="0"/>
        <v>1410.5716666666667</v>
      </c>
      <c r="C20" s="1">
        <v>16926.86</v>
      </c>
    </row>
    <row r="21" spans="1:3" ht="15.5">
      <c r="A21" s="1" t="s">
        <v>21</v>
      </c>
      <c r="B21" s="4">
        <f t="shared" si="0"/>
        <v>1064.1241666666667</v>
      </c>
      <c r="C21" s="1">
        <v>12769.49</v>
      </c>
    </row>
    <row r="22" spans="1:3" ht="15.5">
      <c r="A22" s="1" t="s">
        <v>22</v>
      </c>
      <c r="B22" s="4">
        <f t="shared" si="0"/>
        <v>4215.3091666666669</v>
      </c>
      <c r="C22" s="1">
        <v>50583.71</v>
      </c>
    </row>
    <row r="23" spans="1:3" ht="15.5">
      <c r="A23" s="1" t="s">
        <v>23</v>
      </c>
      <c r="B23" s="4">
        <f t="shared" si="0"/>
        <v>746.34416666666664</v>
      </c>
      <c r="C23" s="1">
        <v>8956.1299999999992</v>
      </c>
    </row>
    <row r="24" spans="1:3" ht="15.5">
      <c r="A24" s="1" t="s">
        <v>24</v>
      </c>
      <c r="B24" s="4">
        <f t="shared" si="0"/>
        <v>2918.7175000000002</v>
      </c>
      <c r="C24" s="1">
        <v>35024.61</v>
      </c>
    </row>
    <row r="25" spans="1:3" ht="15.5">
      <c r="A25" s="1" t="s">
        <v>25</v>
      </c>
      <c r="B25" s="4">
        <f t="shared" si="0"/>
        <v>183.38</v>
      </c>
      <c r="C25" s="1">
        <v>2200.56</v>
      </c>
    </row>
    <row r="26" spans="1:3" ht="15.5">
      <c r="A26" s="1" t="s">
        <v>26</v>
      </c>
      <c r="B26" s="4">
        <f t="shared" si="0"/>
        <v>1427.8416666666665</v>
      </c>
      <c r="C26" s="1">
        <v>17134.099999999999</v>
      </c>
    </row>
    <row r="27" spans="1:3" ht="15.5">
      <c r="A27" s="1" t="s">
        <v>27</v>
      </c>
      <c r="B27" s="4">
        <f t="shared" si="0"/>
        <v>9585.5983333333334</v>
      </c>
      <c r="C27" s="1">
        <v>115027.18</v>
      </c>
    </row>
    <row r="28" spans="1:3" ht="15.5">
      <c r="A28" s="2" t="s">
        <v>28</v>
      </c>
      <c r="B28" s="4">
        <f t="shared" si="0"/>
        <v>49357.803333333337</v>
      </c>
      <c r="C28" s="2">
        <f>SUM(C13:C27)</f>
        <v>592293.64</v>
      </c>
    </row>
    <row r="29" spans="1:3" ht="24.5" customHeight="1">
      <c r="A29" s="2" t="s">
        <v>29</v>
      </c>
      <c r="B29" s="1"/>
      <c r="C29" s="2"/>
    </row>
    <row r="30" spans="1:3" ht="22.5" customHeight="1">
      <c r="A30" s="2" t="s">
        <v>30</v>
      </c>
      <c r="B30" s="1"/>
      <c r="C30" s="2">
        <v>124912.21</v>
      </c>
    </row>
    <row r="31" spans="1:3" ht="31">
      <c r="A31" s="3" t="s">
        <v>31</v>
      </c>
      <c r="B31" s="1"/>
      <c r="C31" s="1">
        <v>263217.77</v>
      </c>
    </row>
    <row r="32" spans="1:3" ht="0.5" customHeight="1">
      <c r="A32" s="3" t="s">
        <v>32</v>
      </c>
      <c r="B32" s="1"/>
      <c r="C32" s="1"/>
    </row>
    <row r="33" spans="1:3" ht="15.5">
      <c r="A33" s="2" t="s">
        <v>33</v>
      </c>
      <c r="B33" s="2"/>
      <c r="C33" s="2">
        <v>-388129.98</v>
      </c>
    </row>
    <row r="34" spans="1:3" ht="24.5" customHeight="1">
      <c r="A34" s="1" t="s">
        <v>34</v>
      </c>
      <c r="B34" s="1"/>
      <c r="C34" s="1"/>
    </row>
    <row r="35" spans="1:3" ht="25.5" customHeight="1">
      <c r="A35" s="1" t="s">
        <v>35</v>
      </c>
      <c r="B35" s="1"/>
      <c r="C35" s="1"/>
    </row>
    <row r="36" spans="1:3" ht="26" customHeight="1">
      <c r="A36" s="1" t="s">
        <v>64</v>
      </c>
      <c r="B36" s="1"/>
      <c r="C36" s="1"/>
    </row>
    <row r="37" spans="1:3" ht="24" customHeight="1">
      <c r="A37" s="1" t="s">
        <v>36</v>
      </c>
      <c r="B37" s="1"/>
      <c r="C37" s="1"/>
    </row>
  </sheetData>
  <pageMargins left="0.7" right="0.7" top="0.75" bottom="0.75" header="0.3" footer="0.3"/>
  <pageSetup paperSize="9" orientation="portrait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C37"/>
  <sheetViews>
    <sheetView workbookViewId="0">
      <selection activeCell="C34" sqref="C34"/>
    </sheetView>
  </sheetViews>
  <sheetFormatPr defaultRowHeight="14.5"/>
  <cols>
    <col min="1" max="1" width="45" customWidth="1"/>
    <col min="2" max="3" width="14.81640625" customWidth="1"/>
  </cols>
  <sheetData>
    <row r="1" spans="1:3" ht="15.5">
      <c r="A1" s="1" t="s">
        <v>0</v>
      </c>
      <c r="B1" s="1"/>
      <c r="C1" s="1"/>
    </row>
    <row r="2" spans="1:3" ht="15.5">
      <c r="A2" s="1" t="s">
        <v>81</v>
      </c>
      <c r="B2" s="1" t="s">
        <v>48</v>
      </c>
      <c r="C2" s="1"/>
    </row>
    <row r="3" spans="1:3" ht="15.5">
      <c r="A3" s="1" t="s">
        <v>3</v>
      </c>
      <c r="B3" s="1"/>
      <c r="C3" s="1"/>
    </row>
    <row r="4" spans="1:3" ht="15.5">
      <c r="A4" s="1" t="s">
        <v>4</v>
      </c>
      <c r="B4" s="1"/>
      <c r="C4" s="1"/>
    </row>
    <row r="5" spans="1:3" ht="15.5">
      <c r="A5" s="1" t="s">
        <v>116</v>
      </c>
      <c r="B5" s="1"/>
      <c r="C5" s="1"/>
    </row>
    <row r="6" spans="1:3" ht="15.5">
      <c r="A6" s="1"/>
      <c r="B6" s="1"/>
      <c r="C6" s="1"/>
    </row>
    <row r="7" spans="1:3" ht="15.5">
      <c r="A7" s="1" t="s">
        <v>5</v>
      </c>
      <c r="B7" s="1" t="s">
        <v>6</v>
      </c>
      <c r="C7" s="1" t="s">
        <v>7</v>
      </c>
    </row>
    <row r="8" spans="1:3" ht="15.5">
      <c r="A8" s="2" t="s">
        <v>8</v>
      </c>
      <c r="B8" s="1"/>
      <c r="C8" s="2">
        <v>85695.67</v>
      </c>
    </row>
    <row r="9" spans="1:3" ht="46.5">
      <c r="A9" s="3" t="s">
        <v>9</v>
      </c>
      <c r="B9" s="4">
        <f>C9/12</f>
        <v>47900.804166666669</v>
      </c>
      <c r="C9" s="1">
        <v>574809.65</v>
      </c>
    </row>
    <row r="10" spans="1:3" ht="48" customHeight="1">
      <c r="A10" s="3" t="s">
        <v>10</v>
      </c>
      <c r="B10" s="4">
        <f t="shared" ref="B10:B28" si="0">C10/12</f>
        <v>2494.4833333333331</v>
      </c>
      <c r="C10" s="1">
        <v>29933.8</v>
      </c>
    </row>
    <row r="11" spans="1:3" ht="15.5">
      <c r="A11" s="2" t="s">
        <v>11</v>
      </c>
      <c r="B11" s="4">
        <f t="shared" si="0"/>
        <v>50395.287500000006</v>
      </c>
      <c r="C11" s="2">
        <f>SUM(C9:C10)</f>
        <v>604743.45000000007</v>
      </c>
    </row>
    <row r="12" spans="1:3" ht="15.5">
      <c r="A12" s="2" t="s">
        <v>12</v>
      </c>
      <c r="B12" s="4">
        <f t="shared" si="0"/>
        <v>0</v>
      </c>
      <c r="C12" s="1"/>
    </row>
    <row r="13" spans="1:3" ht="77" customHeight="1">
      <c r="A13" s="3" t="s">
        <v>13</v>
      </c>
      <c r="B13" s="4">
        <f t="shared" si="0"/>
        <v>12761.688333333334</v>
      </c>
      <c r="C13" s="1">
        <f>125398+27742.26</f>
        <v>153140.26</v>
      </c>
    </row>
    <row r="14" spans="1:3" ht="77.5">
      <c r="A14" s="3" t="s">
        <v>14</v>
      </c>
      <c r="B14" s="4">
        <f t="shared" si="0"/>
        <v>10340.308333333334</v>
      </c>
      <c r="C14" s="1">
        <f>45386.38+78697.32</f>
        <v>124083.70000000001</v>
      </c>
    </row>
    <row r="15" spans="1:3" ht="62">
      <c r="A15" s="3" t="s">
        <v>15</v>
      </c>
      <c r="B15" s="4">
        <f t="shared" si="0"/>
        <v>0</v>
      </c>
      <c r="C15" s="1"/>
    </row>
    <row r="16" spans="1:3" ht="15.5">
      <c r="A16" s="1" t="s">
        <v>16</v>
      </c>
      <c r="B16" s="4">
        <f t="shared" si="0"/>
        <v>5104.083333333333</v>
      </c>
      <c r="C16" s="1">
        <v>61249</v>
      </c>
    </row>
    <row r="17" spans="1:3" ht="15.5">
      <c r="A17" s="1" t="s">
        <v>17</v>
      </c>
      <c r="B17" s="4">
        <f t="shared" si="0"/>
        <v>1733.99</v>
      </c>
      <c r="C17" s="1">
        <v>20807.88</v>
      </c>
    </row>
    <row r="18" spans="1:3" ht="15.5">
      <c r="A18" s="1" t="s">
        <v>18</v>
      </c>
      <c r="B18" s="4">
        <f t="shared" si="0"/>
        <v>163.87</v>
      </c>
      <c r="C18" s="1">
        <v>1966.44</v>
      </c>
    </row>
    <row r="19" spans="1:3" ht="15.5">
      <c r="A19" s="1" t="s">
        <v>19</v>
      </c>
      <c r="B19" s="4">
        <f t="shared" si="0"/>
        <v>0</v>
      </c>
      <c r="C19" s="1"/>
    </row>
    <row r="20" spans="1:3" ht="15.5">
      <c r="A20" s="1" t="s">
        <v>20</v>
      </c>
      <c r="B20" s="4">
        <f t="shared" si="0"/>
        <v>940.38083333333327</v>
      </c>
      <c r="C20" s="1">
        <v>11284.57</v>
      </c>
    </row>
    <row r="21" spans="1:3" ht="15.5">
      <c r="A21" s="1" t="s">
        <v>21</v>
      </c>
      <c r="B21" s="4">
        <f t="shared" si="0"/>
        <v>1102.2875000000001</v>
      </c>
      <c r="C21" s="1">
        <v>13227.45</v>
      </c>
    </row>
    <row r="22" spans="1:3" ht="15.5">
      <c r="A22" s="1" t="s">
        <v>22</v>
      </c>
      <c r="B22" s="4">
        <f t="shared" si="0"/>
        <v>4325.0466666666662</v>
      </c>
      <c r="C22" s="1">
        <v>51900.56</v>
      </c>
    </row>
    <row r="23" spans="1:3" ht="15.5">
      <c r="A23" s="1" t="s">
        <v>23</v>
      </c>
      <c r="B23" s="4">
        <f t="shared" si="0"/>
        <v>499.9708333333333</v>
      </c>
      <c r="C23" s="1">
        <v>5999.65</v>
      </c>
    </row>
    <row r="24" spans="1:3" ht="15.5">
      <c r="A24" s="1" t="s">
        <v>24</v>
      </c>
      <c r="B24" s="4">
        <f t="shared" si="0"/>
        <v>2996.9308333333333</v>
      </c>
      <c r="C24" s="1">
        <v>35963.17</v>
      </c>
    </row>
    <row r="25" spans="1:3" ht="15.5">
      <c r="A25" s="1" t="s">
        <v>25</v>
      </c>
      <c r="B25" s="4">
        <f t="shared" si="0"/>
        <v>246.87666666666667</v>
      </c>
      <c r="C25" s="1">
        <v>2962.52</v>
      </c>
    </row>
    <row r="26" spans="1:3" ht="15.5">
      <c r="A26" s="1" t="s">
        <v>26</v>
      </c>
      <c r="B26" s="4">
        <f t="shared" si="0"/>
        <v>0</v>
      </c>
      <c r="C26" s="1"/>
    </row>
    <row r="27" spans="1:3" ht="15.5">
      <c r="A27" s="1" t="s">
        <v>27</v>
      </c>
      <c r="B27" s="4">
        <f t="shared" si="0"/>
        <v>9835.1416666666664</v>
      </c>
      <c r="C27" s="1">
        <v>118021.7</v>
      </c>
    </row>
    <row r="28" spans="1:3" ht="15.5">
      <c r="A28" s="2" t="s">
        <v>28</v>
      </c>
      <c r="B28" s="4">
        <f t="shared" si="0"/>
        <v>50050.575000000004</v>
      </c>
      <c r="C28" s="2">
        <f>SUM(C13:C27)</f>
        <v>600606.9</v>
      </c>
    </row>
    <row r="29" spans="1:3" ht="23" customHeight="1">
      <c r="A29" s="2" t="s">
        <v>29</v>
      </c>
      <c r="B29" s="1"/>
      <c r="C29" s="2">
        <v>89832.22</v>
      </c>
    </row>
    <row r="30" spans="1:3" ht="27.5" customHeight="1">
      <c r="A30" s="2" t="s">
        <v>30</v>
      </c>
      <c r="B30" s="1"/>
      <c r="C30" s="2"/>
    </row>
    <row r="31" spans="1:3" ht="46" customHeight="1">
      <c r="A31" s="3" t="s">
        <v>31</v>
      </c>
      <c r="B31" s="1"/>
      <c r="C31" s="1">
        <v>137331.21</v>
      </c>
    </row>
    <row r="32" spans="1:3" ht="62" hidden="1">
      <c r="A32" s="3" t="s">
        <v>32</v>
      </c>
      <c r="B32" s="1"/>
      <c r="C32" s="1"/>
    </row>
    <row r="33" spans="1:3" ht="26" customHeight="1">
      <c r="A33" s="2" t="s">
        <v>33</v>
      </c>
      <c r="B33" s="2"/>
      <c r="C33" s="2">
        <v>-47498.99</v>
      </c>
    </row>
    <row r="34" spans="1:3" ht="32" customHeight="1">
      <c r="A34" s="1" t="s">
        <v>34</v>
      </c>
      <c r="B34" s="1"/>
      <c r="C34" s="1"/>
    </row>
    <row r="35" spans="1:3" ht="41" customHeight="1">
      <c r="A35" s="1" t="s">
        <v>35</v>
      </c>
      <c r="B35" s="1"/>
      <c r="C35" s="1"/>
    </row>
    <row r="36" spans="1:3" ht="37" customHeight="1">
      <c r="A36" s="1" t="s">
        <v>64</v>
      </c>
      <c r="B36" s="1"/>
      <c r="C36" s="1"/>
    </row>
    <row r="37" spans="1:3" ht="22" customHeight="1">
      <c r="A37" s="1" t="s">
        <v>36</v>
      </c>
      <c r="B37" s="1"/>
      <c r="C37" s="1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7"/>
  <sheetViews>
    <sheetView workbookViewId="0">
      <selection activeCell="C9" sqref="C9"/>
    </sheetView>
  </sheetViews>
  <sheetFormatPr defaultRowHeight="14.5"/>
  <cols>
    <col min="1" max="1" width="44.81640625" customWidth="1"/>
    <col min="2" max="2" width="15.90625" customWidth="1"/>
    <col min="3" max="3" width="14.6328125" customWidth="1"/>
  </cols>
  <sheetData>
    <row r="1" spans="1:5" ht="15.5">
      <c r="A1" s="1" t="s">
        <v>0</v>
      </c>
      <c r="B1" s="1"/>
      <c r="C1" s="1"/>
    </row>
    <row r="2" spans="1:5" ht="15.5">
      <c r="A2" s="1" t="s">
        <v>40</v>
      </c>
      <c r="B2" s="1" t="s">
        <v>2</v>
      </c>
      <c r="C2" s="1"/>
    </row>
    <row r="3" spans="1:5" ht="15.5">
      <c r="A3" s="1" t="s">
        <v>3</v>
      </c>
      <c r="B3" s="1"/>
      <c r="C3" s="1"/>
    </row>
    <row r="4" spans="1:5" ht="15.5">
      <c r="A4" s="1" t="s">
        <v>4</v>
      </c>
      <c r="B4" s="1"/>
      <c r="C4" s="1"/>
    </row>
    <row r="5" spans="1:5" ht="15.5">
      <c r="A5" s="1" t="s">
        <v>116</v>
      </c>
      <c r="B5" s="1"/>
      <c r="C5" s="1"/>
    </row>
    <row r="6" spans="1:5" ht="15.5">
      <c r="A6" s="1"/>
      <c r="B6" s="1"/>
      <c r="C6" s="1"/>
    </row>
    <row r="7" spans="1:5" ht="15.5">
      <c r="A7" s="1" t="s">
        <v>5</v>
      </c>
      <c r="B7" s="1" t="s">
        <v>6</v>
      </c>
      <c r="C7" s="1" t="s">
        <v>7</v>
      </c>
    </row>
    <row r="8" spans="1:5" ht="15.5">
      <c r="A8" s="2" t="s">
        <v>8</v>
      </c>
      <c r="B8" s="1"/>
      <c r="C8" s="2">
        <v>39291.51</v>
      </c>
    </row>
    <row r="9" spans="1:5" ht="45.5" customHeight="1">
      <c r="A9" s="3" t="s">
        <v>9</v>
      </c>
      <c r="B9" s="4">
        <f>C9/12</f>
        <v>47435.291666666664</v>
      </c>
      <c r="C9" s="1">
        <f>569223.5</f>
        <v>569223.5</v>
      </c>
    </row>
    <row r="10" spans="1:5" ht="46" customHeight="1">
      <c r="A10" s="3" t="s">
        <v>10</v>
      </c>
      <c r="B10" s="4">
        <f t="shared" ref="B10:B11" si="0">C10/12</f>
        <v>1412.9166666666667</v>
      </c>
      <c r="C10" s="1">
        <v>16955</v>
      </c>
    </row>
    <row r="11" spans="1:5" ht="15.5">
      <c r="A11" s="2" t="s">
        <v>11</v>
      </c>
      <c r="B11" s="4">
        <f t="shared" si="0"/>
        <v>48848.208333333336</v>
      </c>
      <c r="C11" s="2">
        <f>SUM(C9:C10)</f>
        <v>586178.5</v>
      </c>
    </row>
    <row r="12" spans="1:5" ht="15.5">
      <c r="A12" s="2" t="s">
        <v>12</v>
      </c>
      <c r="B12" s="4"/>
      <c r="C12" s="1"/>
    </row>
    <row r="13" spans="1:5" ht="80.5" customHeight="1">
      <c r="A13" s="3" t="s">
        <v>13</v>
      </c>
      <c r="B13" s="4">
        <f>C13/12</f>
        <v>11819.343333333332</v>
      </c>
      <c r="C13" s="1">
        <f>116138.4+25693.72</f>
        <v>141832.12</v>
      </c>
      <c r="E13" t="s">
        <v>41</v>
      </c>
    </row>
    <row r="14" spans="1:5" ht="79" customHeight="1">
      <c r="A14" s="3" t="s">
        <v>14</v>
      </c>
      <c r="B14" s="4">
        <f t="shared" ref="B14:B28" si="1">C14/12</f>
        <v>8356.3483333333334</v>
      </c>
      <c r="C14" s="1">
        <f>28860.78+71415.4</f>
        <v>100276.18</v>
      </c>
    </row>
    <row r="15" spans="1:5" ht="61.5" customHeight="1">
      <c r="A15" s="3" t="s">
        <v>15</v>
      </c>
      <c r="B15" s="4">
        <f t="shared" si="1"/>
        <v>0</v>
      </c>
      <c r="C15" s="1"/>
    </row>
    <row r="16" spans="1:5" ht="15.5">
      <c r="A16" s="1" t="s">
        <v>16</v>
      </c>
      <c r="B16" s="4">
        <f t="shared" si="1"/>
        <v>7215.416666666667</v>
      </c>
      <c r="C16" s="1">
        <v>86585</v>
      </c>
    </row>
    <row r="17" spans="1:3" ht="15.5">
      <c r="A17" s="1" t="s">
        <v>17</v>
      </c>
      <c r="B17" s="4">
        <f t="shared" si="1"/>
        <v>1663.8400000000001</v>
      </c>
      <c r="C17" s="1">
        <v>19966.080000000002</v>
      </c>
    </row>
    <row r="18" spans="1:3" ht="15.5">
      <c r="A18" s="1" t="s">
        <v>18</v>
      </c>
      <c r="B18" s="4">
        <f t="shared" si="1"/>
        <v>408.06666666666666</v>
      </c>
      <c r="C18" s="1">
        <v>4896.8</v>
      </c>
    </row>
    <row r="19" spans="1:3" ht="15.5">
      <c r="A19" s="1" t="s">
        <v>19</v>
      </c>
      <c r="B19" s="4">
        <f t="shared" si="1"/>
        <v>0</v>
      </c>
      <c r="C19" s="1"/>
    </row>
    <row r="20" spans="1:3" ht="15.5">
      <c r="A20" s="1" t="s">
        <v>20</v>
      </c>
      <c r="B20" s="4">
        <f t="shared" si="1"/>
        <v>940.38083333333327</v>
      </c>
      <c r="C20" s="1">
        <v>11284.57</v>
      </c>
    </row>
    <row r="21" spans="1:3" ht="15.5">
      <c r="A21" s="1" t="s">
        <v>21</v>
      </c>
      <c r="B21" s="4">
        <f t="shared" si="1"/>
        <v>1072.0141666666666</v>
      </c>
      <c r="C21" s="1">
        <v>12864.17</v>
      </c>
    </row>
    <row r="22" spans="1:3" ht="15.5">
      <c r="A22" s="1" t="s">
        <v>22</v>
      </c>
      <c r="B22" s="4">
        <f t="shared" si="1"/>
        <v>4150.4525000000003</v>
      </c>
      <c r="C22" s="1">
        <v>49805.43</v>
      </c>
    </row>
    <row r="23" spans="1:3" ht="15.5">
      <c r="A23" s="1" t="s">
        <v>23</v>
      </c>
      <c r="B23" s="4">
        <f t="shared" si="1"/>
        <v>483.46749999999997</v>
      </c>
      <c r="C23" s="1">
        <v>5801.61</v>
      </c>
    </row>
    <row r="24" spans="1:3" ht="15.5">
      <c r="A24" s="1" t="s">
        <v>24</v>
      </c>
      <c r="B24" s="4">
        <f t="shared" si="1"/>
        <v>2904.9283333333333</v>
      </c>
      <c r="C24" s="1">
        <v>34859.14</v>
      </c>
    </row>
    <row r="25" spans="1:3" ht="15.5">
      <c r="A25" s="1" t="s">
        <v>25</v>
      </c>
      <c r="B25" s="4">
        <f t="shared" si="1"/>
        <v>262.82</v>
      </c>
      <c r="C25" s="1">
        <v>3153.84</v>
      </c>
    </row>
    <row r="26" spans="1:3" ht="15.5">
      <c r="A26" s="1" t="s">
        <v>26</v>
      </c>
      <c r="B26" s="4">
        <f t="shared" si="1"/>
        <v>0</v>
      </c>
      <c r="C26" s="1"/>
    </row>
    <row r="27" spans="1:3" ht="15.5">
      <c r="A27" s="1" t="s">
        <v>27</v>
      </c>
      <c r="B27" s="4">
        <f t="shared" si="1"/>
        <v>9438.1141666666663</v>
      </c>
      <c r="C27" s="1">
        <v>113257.37</v>
      </c>
    </row>
    <row r="28" spans="1:3" ht="15.5">
      <c r="A28" s="2" t="s">
        <v>28</v>
      </c>
      <c r="B28" s="4">
        <f t="shared" si="1"/>
        <v>48715.192500000005</v>
      </c>
      <c r="C28" s="2">
        <f>SUM(C13:C27)</f>
        <v>584582.31000000006</v>
      </c>
    </row>
    <row r="29" spans="1:3" ht="15.5">
      <c r="A29" s="2" t="s">
        <v>29</v>
      </c>
      <c r="B29" s="1"/>
      <c r="C29" s="2">
        <v>40887.699999999997</v>
      </c>
    </row>
    <row r="30" spans="1:3" ht="15.5">
      <c r="A30" s="2" t="s">
        <v>30</v>
      </c>
      <c r="B30" s="1"/>
      <c r="C30" s="2"/>
    </row>
    <row r="31" spans="1:3" ht="61.5" customHeight="1">
      <c r="A31" s="3" t="s">
        <v>31</v>
      </c>
      <c r="B31" s="1"/>
      <c r="C31" s="1">
        <v>170150.9</v>
      </c>
    </row>
    <row r="32" spans="1:3" ht="62" hidden="1">
      <c r="A32" s="3" t="s">
        <v>32</v>
      </c>
      <c r="B32" s="1"/>
      <c r="C32" s="1"/>
    </row>
    <row r="33" spans="1:3" ht="15.5">
      <c r="A33" s="2" t="s">
        <v>33</v>
      </c>
      <c r="B33" s="2"/>
      <c r="C33" s="2">
        <v>-129263.2</v>
      </c>
    </row>
    <row r="34" spans="1:3" ht="27.5" customHeight="1">
      <c r="A34" s="1" t="s">
        <v>34</v>
      </c>
      <c r="B34" s="1"/>
      <c r="C34" s="1"/>
    </row>
    <row r="35" spans="1:3" ht="15.5">
      <c r="A35" s="1" t="s">
        <v>35</v>
      </c>
      <c r="B35" s="1"/>
      <c r="C35" s="1"/>
    </row>
    <row r="36" spans="1:3" ht="15.5">
      <c r="A36" s="1" t="s">
        <v>110</v>
      </c>
      <c r="B36" s="1"/>
      <c r="C36" s="1"/>
    </row>
    <row r="37" spans="1:3" ht="15.5">
      <c r="A37" s="1" t="s">
        <v>36</v>
      </c>
      <c r="B37" s="1"/>
      <c r="C37" s="1"/>
    </row>
  </sheetData>
  <pageMargins left="0.7" right="0.7" top="0.75" bottom="0.75" header="0.3" footer="0.3"/>
  <pageSetup paperSize="9" orientation="portrait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C37"/>
  <sheetViews>
    <sheetView topLeftCell="A25" workbookViewId="0">
      <selection activeCell="C33" sqref="C33"/>
    </sheetView>
  </sheetViews>
  <sheetFormatPr defaultRowHeight="14.5"/>
  <cols>
    <col min="1" max="1" width="43.54296875" customWidth="1"/>
    <col min="2" max="2" width="14.6328125" customWidth="1"/>
    <col min="3" max="3" width="15.81640625" customWidth="1"/>
  </cols>
  <sheetData>
    <row r="1" spans="1:3" ht="15.5">
      <c r="A1" s="1" t="s">
        <v>0</v>
      </c>
      <c r="B1" s="1"/>
      <c r="C1" s="1"/>
    </row>
    <row r="2" spans="1:3" ht="15.5">
      <c r="A2" s="1" t="s">
        <v>82</v>
      </c>
      <c r="B2" s="1" t="s">
        <v>48</v>
      </c>
      <c r="C2" s="1"/>
    </row>
    <row r="3" spans="1:3" ht="15.5">
      <c r="A3" s="1" t="s">
        <v>3</v>
      </c>
      <c r="B3" s="1"/>
      <c r="C3" s="1"/>
    </row>
    <row r="4" spans="1:3" ht="15.5">
      <c r="A4" s="1" t="s">
        <v>4</v>
      </c>
      <c r="B4" s="1"/>
      <c r="C4" s="1"/>
    </row>
    <row r="5" spans="1:3" ht="15.5">
      <c r="A5" s="1" t="s">
        <v>116</v>
      </c>
      <c r="B5" s="1"/>
      <c r="C5" s="1"/>
    </row>
    <row r="6" spans="1:3" ht="8.5" customHeight="1">
      <c r="A6" s="1"/>
      <c r="B6" s="1"/>
      <c r="C6" s="1"/>
    </row>
    <row r="7" spans="1:3" ht="15.5">
      <c r="A7" s="1" t="s">
        <v>5</v>
      </c>
      <c r="B7" s="1" t="s">
        <v>6</v>
      </c>
      <c r="C7" s="1" t="s">
        <v>7</v>
      </c>
    </row>
    <row r="8" spans="1:3" ht="15.5">
      <c r="A8" s="2" t="s">
        <v>8</v>
      </c>
      <c r="B8" s="1"/>
      <c r="C8" s="2">
        <v>158691.97</v>
      </c>
    </row>
    <row r="9" spans="1:3" ht="46.5">
      <c r="A9" s="3" t="s">
        <v>9</v>
      </c>
      <c r="B9" s="4">
        <f>C9/12</f>
        <v>55828.290833333333</v>
      </c>
      <c r="C9" s="1">
        <v>669939.49</v>
      </c>
    </row>
    <row r="10" spans="1:3" ht="46.5">
      <c r="A10" s="3" t="s">
        <v>10</v>
      </c>
      <c r="B10" s="4">
        <f t="shared" ref="B10:B27" si="0">C10/12</f>
        <v>3237.4</v>
      </c>
      <c r="C10" s="1">
        <v>38848.800000000003</v>
      </c>
    </row>
    <row r="11" spans="1:3" ht="15.5">
      <c r="A11" s="2" t="s">
        <v>11</v>
      </c>
      <c r="B11" s="4">
        <f t="shared" si="0"/>
        <v>59065.690833333334</v>
      </c>
      <c r="C11" s="2">
        <f>SUM(C9:C10)</f>
        <v>708788.29</v>
      </c>
    </row>
    <row r="12" spans="1:3" ht="15.5">
      <c r="A12" s="2" t="s">
        <v>12</v>
      </c>
      <c r="B12" s="4">
        <f t="shared" si="0"/>
        <v>0</v>
      </c>
      <c r="C12" s="1"/>
    </row>
    <row r="13" spans="1:3" ht="77.5">
      <c r="A13" s="3" t="s">
        <v>13</v>
      </c>
      <c r="B13" s="4">
        <f t="shared" si="0"/>
        <v>16575.668333333331</v>
      </c>
      <c r="C13" s="1">
        <f>162896.27+36011.75</f>
        <v>198908.02</v>
      </c>
    </row>
    <row r="14" spans="1:3" ht="77.5">
      <c r="A14" s="3" t="s">
        <v>14</v>
      </c>
      <c r="B14" s="4">
        <f t="shared" si="0"/>
        <v>9237.4291666666668</v>
      </c>
      <c r="C14" s="1">
        <f>49511.87+61337.28</f>
        <v>110849.15</v>
      </c>
    </row>
    <row r="15" spans="1:3" ht="62">
      <c r="A15" s="3" t="s">
        <v>15</v>
      </c>
      <c r="B15" s="4">
        <f t="shared" si="0"/>
        <v>0</v>
      </c>
      <c r="C15" s="1"/>
    </row>
    <row r="16" spans="1:3" ht="15.5">
      <c r="A16" s="1" t="s">
        <v>16</v>
      </c>
      <c r="B16" s="4">
        <f t="shared" si="0"/>
        <v>491.08333333333331</v>
      </c>
      <c r="C16" s="1">
        <v>5893</v>
      </c>
    </row>
    <row r="17" spans="1:3" ht="15.5">
      <c r="A17" s="1" t="s">
        <v>17</v>
      </c>
      <c r="B17" s="4">
        <f t="shared" si="0"/>
        <v>2354.09</v>
      </c>
      <c r="C17" s="1">
        <v>28249.08</v>
      </c>
    </row>
    <row r="18" spans="1:3" ht="15.5">
      <c r="A18" s="1" t="s">
        <v>18</v>
      </c>
      <c r="B18" s="4">
        <f t="shared" si="0"/>
        <v>294.62</v>
      </c>
      <c r="C18" s="1">
        <v>3535.44</v>
      </c>
    </row>
    <row r="19" spans="1:3" ht="15.5">
      <c r="A19" s="1" t="s">
        <v>19</v>
      </c>
      <c r="B19" s="4">
        <f t="shared" si="0"/>
        <v>0</v>
      </c>
      <c r="C19" s="1"/>
    </row>
    <row r="20" spans="1:3" ht="15.5">
      <c r="A20" s="1" t="s">
        <v>20</v>
      </c>
      <c r="B20" s="4">
        <f t="shared" si="0"/>
        <v>1175.4766666666667</v>
      </c>
      <c r="C20" s="1">
        <v>14105.72</v>
      </c>
    </row>
    <row r="21" spans="1:3" ht="15.5">
      <c r="A21" s="1" t="s">
        <v>21</v>
      </c>
      <c r="B21" s="4">
        <f t="shared" si="0"/>
        <v>1465.2275</v>
      </c>
      <c r="C21" s="1">
        <v>17582.73</v>
      </c>
    </row>
    <row r="22" spans="1:3" ht="15.5">
      <c r="A22" s="1" t="s">
        <v>22</v>
      </c>
      <c r="B22" s="4">
        <f t="shared" si="0"/>
        <v>5875.3858333333337</v>
      </c>
      <c r="C22" s="1">
        <v>70504.63</v>
      </c>
    </row>
    <row r="23" spans="1:3" ht="15.5">
      <c r="A23" s="1" t="s">
        <v>23</v>
      </c>
      <c r="B23" s="4">
        <f t="shared" si="0"/>
        <v>614.39</v>
      </c>
      <c r="C23" s="1">
        <v>7372.68</v>
      </c>
    </row>
    <row r="24" spans="1:3" ht="15.5">
      <c r="A24" s="1" t="s">
        <v>24</v>
      </c>
      <c r="B24" s="4">
        <f t="shared" si="0"/>
        <v>4008.1175000000003</v>
      </c>
      <c r="C24" s="1">
        <v>48097.41</v>
      </c>
    </row>
    <row r="25" spans="1:3" ht="15.5">
      <c r="A25" s="1" t="s">
        <v>25</v>
      </c>
      <c r="B25" s="4">
        <f t="shared" si="0"/>
        <v>366.84333333333331</v>
      </c>
      <c r="C25" s="1">
        <v>4402.12</v>
      </c>
    </row>
    <row r="26" spans="1:3" ht="15.5">
      <c r="A26" s="1" t="s">
        <v>26</v>
      </c>
      <c r="B26" s="4">
        <f t="shared" si="0"/>
        <v>429.7091666666667</v>
      </c>
      <c r="C26" s="1">
        <v>5156.51</v>
      </c>
    </row>
    <row r="27" spans="1:3" ht="15.5">
      <c r="A27" s="1" t="s">
        <v>27</v>
      </c>
      <c r="B27" s="4">
        <f t="shared" si="0"/>
        <v>13360.608333333332</v>
      </c>
      <c r="C27" s="1">
        <v>160327.29999999999</v>
      </c>
    </row>
    <row r="28" spans="1:3" ht="15.5">
      <c r="A28" s="2" t="s">
        <v>28</v>
      </c>
      <c r="B28" s="4"/>
      <c r="C28" s="2">
        <f>SUM(C13:C27)</f>
        <v>674983.79</v>
      </c>
    </row>
    <row r="29" spans="1:3" ht="17" customHeight="1">
      <c r="A29" s="2" t="s">
        <v>29</v>
      </c>
      <c r="B29" s="1"/>
      <c r="C29" s="2"/>
    </row>
    <row r="30" spans="1:3" ht="16.5" customHeight="1">
      <c r="A30" s="2" t="s">
        <v>30</v>
      </c>
      <c r="B30" s="1"/>
      <c r="C30" s="2">
        <v>192496.48</v>
      </c>
    </row>
    <row r="31" spans="1:3" ht="47" customHeight="1">
      <c r="A31" s="3" t="s">
        <v>31</v>
      </c>
      <c r="B31" s="1"/>
      <c r="C31" s="1">
        <v>167338.95000000001</v>
      </c>
    </row>
    <row r="32" spans="1:3" ht="62" hidden="1">
      <c r="A32" s="3" t="s">
        <v>32</v>
      </c>
      <c r="B32" s="1"/>
      <c r="C32" s="1"/>
    </row>
    <row r="33" spans="1:3" ht="29.5" customHeight="1">
      <c r="A33" s="2" t="s">
        <v>33</v>
      </c>
      <c r="B33" s="2"/>
      <c r="C33" s="2">
        <v>25157.53</v>
      </c>
    </row>
    <row r="34" spans="1:3" ht="33.5" customHeight="1">
      <c r="A34" s="1" t="s">
        <v>34</v>
      </c>
      <c r="B34" s="1"/>
      <c r="C34" s="1"/>
    </row>
    <row r="35" spans="1:3" ht="24" customHeight="1">
      <c r="A35" s="1" t="s">
        <v>35</v>
      </c>
      <c r="B35" s="1"/>
      <c r="C35" s="1"/>
    </row>
    <row r="36" spans="1:3" ht="28" customHeight="1">
      <c r="A36" s="1" t="s">
        <v>64</v>
      </c>
      <c r="B36" s="1"/>
      <c r="C36" s="1"/>
    </row>
    <row r="37" spans="1:3" ht="15.5">
      <c r="A37" s="1" t="s">
        <v>36</v>
      </c>
      <c r="B37" s="1"/>
      <c r="C37" s="1"/>
    </row>
  </sheetData>
  <pageMargins left="0.7" right="0.7" top="0.75" bottom="0.75" header="0.3" footer="0.3"/>
  <pageSetup paperSize="9" orientation="portrait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C37"/>
  <sheetViews>
    <sheetView topLeftCell="A17" workbookViewId="0">
      <selection activeCell="C34" sqref="C34"/>
    </sheetView>
  </sheetViews>
  <sheetFormatPr defaultRowHeight="14.5"/>
  <cols>
    <col min="1" max="1" width="45.453125" customWidth="1"/>
    <col min="2" max="3" width="17.453125" customWidth="1"/>
  </cols>
  <sheetData>
    <row r="1" spans="1:3" ht="15.5">
      <c r="A1" s="1" t="s">
        <v>0</v>
      </c>
      <c r="B1" s="1"/>
      <c r="C1" s="1"/>
    </row>
    <row r="2" spans="1:3" ht="15.5">
      <c r="A2" s="1" t="s">
        <v>83</v>
      </c>
      <c r="B2" s="1" t="s">
        <v>48</v>
      </c>
      <c r="C2" s="1"/>
    </row>
    <row r="3" spans="1:3" ht="15.5">
      <c r="A3" s="1" t="s">
        <v>3</v>
      </c>
      <c r="B3" s="1"/>
      <c r="C3" s="1"/>
    </row>
    <row r="4" spans="1:3" ht="15.5">
      <c r="A4" s="1" t="s">
        <v>4</v>
      </c>
      <c r="B4" s="1"/>
      <c r="C4" s="1"/>
    </row>
    <row r="5" spans="1:3" ht="15.5">
      <c r="A5" s="1" t="s">
        <v>116</v>
      </c>
      <c r="B5" s="1"/>
      <c r="C5" s="1"/>
    </row>
    <row r="6" spans="1:3" ht="15.5">
      <c r="A6" s="1"/>
      <c r="B6" s="1"/>
      <c r="C6" s="1"/>
    </row>
    <row r="7" spans="1:3" ht="15.5">
      <c r="A7" s="1" t="s">
        <v>5</v>
      </c>
      <c r="B7" s="1" t="s">
        <v>6</v>
      </c>
      <c r="C7" s="1" t="s">
        <v>7</v>
      </c>
    </row>
    <row r="8" spans="1:3" ht="15.5">
      <c r="A8" s="2" t="s">
        <v>8</v>
      </c>
      <c r="B8" s="1"/>
      <c r="C8" s="2">
        <v>66503.91</v>
      </c>
    </row>
    <row r="9" spans="1:3" ht="46.5">
      <c r="A9" s="3" t="s">
        <v>9</v>
      </c>
      <c r="B9" s="4">
        <f>C9/12</f>
        <v>65413.325000000004</v>
      </c>
      <c r="C9" s="1">
        <v>784959.9</v>
      </c>
    </row>
    <row r="10" spans="1:3" ht="49" customHeight="1">
      <c r="A10" s="3" t="s">
        <v>10</v>
      </c>
      <c r="B10" s="4">
        <f t="shared" ref="B10:B28" si="0">C10/12</f>
        <v>2807.4</v>
      </c>
      <c r="C10" s="1">
        <v>33688.800000000003</v>
      </c>
    </row>
    <row r="11" spans="1:3" ht="15.5">
      <c r="A11" s="2" t="s">
        <v>11</v>
      </c>
      <c r="B11" s="4">
        <f t="shared" si="0"/>
        <v>68220.725000000006</v>
      </c>
      <c r="C11" s="2">
        <f>SUM(C9:C10)</f>
        <v>818648.70000000007</v>
      </c>
    </row>
    <row r="12" spans="1:3" ht="15.5">
      <c r="A12" s="2" t="s">
        <v>12</v>
      </c>
      <c r="B12" s="4">
        <f t="shared" si="0"/>
        <v>0</v>
      </c>
      <c r="C12" s="1"/>
    </row>
    <row r="13" spans="1:3" ht="78" customHeight="1">
      <c r="A13" s="3" t="s">
        <v>13</v>
      </c>
      <c r="B13" s="4">
        <f t="shared" si="0"/>
        <v>17083.52</v>
      </c>
      <c r="C13" s="1">
        <f>167864.88+37137.36</f>
        <v>205002.23999999999</v>
      </c>
    </row>
    <row r="14" spans="1:3" ht="77.5">
      <c r="A14" s="3" t="s">
        <v>14</v>
      </c>
      <c r="B14" s="4">
        <f t="shared" si="0"/>
        <v>12493.353333333333</v>
      </c>
      <c r="C14" s="1">
        <f>55986.4+93933.84</f>
        <v>149920.24</v>
      </c>
    </row>
    <row r="15" spans="1:3" ht="62">
      <c r="A15" s="3" t="s">
        <v>15</v>
      </c>
      <c r="B15" s="4">
        <f t="shared" si="0"/>
        <v>0</v>
      </c>
      <c r="C15" s="1"/>
    </row>
    <row r="16" spans="1:3" ht="15.5">
      <c r="A16" s="1" t="s">
        <v>16</v>
      </c>
      <c r="B16" s="4">
        <f t="shared" si="0"/>
        <v>11502.333333333334</v>
      </c>
      <c r="C16" s="1">
        <v>138028</v>
      </c>
    </row>
    <row r="17" spans="1:3" ht="15.5">
      <c r="A17" s="1" t="s">
        <v>17</v>
      </c>
      <c r="B17" s="4">
        <f t="shared" si="0"/>
        <v>2341.2999999999997</v>
      </c>
      <c r="C17" s="1">
        <v>28095.599999999999</v>
      </c>
    </row>
    <row r="18" spans="1:3" ht="15.5">
      <c r="A18" s="1" t="s">
        <v>18</v>
      </c>
      <c r="B18" s="4">
        <f t="shared" si="0"/>
        <v>297.83999999999997</v>
      </c>
      <c r="C18" s="1">
        <v>3574.08</v>
      </c>
    </row>
    <row r="19" spans="1:3" ht="15.5">
      <c r="A19" s="1" t="s">
        <v>19</v>
      </c>
      <c r="B19" s="4">
        <f t="shared" si="0"/>
        <v>0</v>
      </c>
      <c r="C19" s="1"/>
    </row>
    <row r="20" spans="1:3" ht="15.5">
      <c r="A20" s="1" t="s">
        <v>20</v>
      </c>
      <c r="B20" s="4">
        <f t="shared" si="0"/>
        <v>1175.4766666666667</v>
      </c>
      <c r="C20" s="1">
        <v>14105.72</v>
      </c>
    </row>
    <row r="21" spans="1:3" ht="15.5">
      <c r="A21" s="1" t="s">
        <v>21</v>
      </c>
      <c r="B21" s="4">
        <f t="shared" si="0"/>
        <v>1487.0625</v>
      </c>
      <c r="C21" s="1">
        <v>17844.75</v>
      </c>
    </row>
    <row r="22" spans="1:3" ht="15.5">
      <c r="A22" s="1" t="s">
        <v>22</v>
      </c>
      <c r="B22" s="4">
        <f t="shared" si="0"/>
        <v>5842.1791666666659</v>
      </c>
      <c r="C22" s="1">
        <v>70106.149999999994</v>
      </c>
    </row>
    <row r="23" spans="1:3" ht="15.5">
      <c r="A23" s="1" t="s">
        <v>23</v>
      </c>
      <c r="B23" s="4">
        <f t="shared" si="0"/>
        <v>623.67500000000007</v>
      </c>
      <c r="C23" s="1">
        <v>7484.1</v>
      </c>
    </row>
    <row r="24" spans="1:3" ht="15.5">
      <c r="A24" s="1" t="s">
        <v>24</v>
      </c>
      <c r="B24" s="4">
        <f t="shared" si="0"/>
        <v>4056.9825000000001</v>
      </c>
      <c r="C24" s="1">
        <v>48683.79</v>
      </c>
    </row>
    <row r="25" spans="1:3" ht="15.5">
      <c r="A25" s="1" t="s">
        <v>25</v>
      </c>
      <c r="B25" s="4">
        <f t="shared" si="0"/>
        <v>366.68833333333333</v>
      </c>
      <c r="C25" s="1">
        <v>4400.26</v>
      </c>
    </row>
    <row r="26" spans="1:3" ht="15.5">
      <c r="A26" s="1" t="s">
        <v>26</v>
      </c>
      <c r="B26" s="4">
        <f t="shared" si="0"/>
        <v>0</v>
      </c>
      <c r="C26" s="1"/>
    </row>
    <row r="27" spans="1:3" ht="15.5">
      <c r="A27" s="1" t="s">
        <v>27</v>
      </c>
      <c r="B27" s="4">
        <f t="shared" si="0"/>
        <v>13285.095833333333</v>
      </c>
      <c r="C27" s="1">
        <v>159421.15</v>
      </c>
    </row>
    <row r="28" spans="1:3" ht="15.5">
      <c r="A28" s="2" t="s">
        <v>28</v>
      </c>
      <c r="B28" s="4">
        <f t="shared" si="0"/>
        <v>70555.506666666668</v>
      </c>
      <c r="C28" s="2">
        <f>SUM(C13:C27)</f>
        <v>846666.08</v>
      </c>
    </row>
    <row r="29" spans="1:3" ht="23" customHeight="1">
      <c r="A29" s="2" t="s">
        <v>29</v>
      </c>
      <c r="B29" s="1"/>
      <c r="C29" s="2">
        <v>38486.53</v>
      </c>
    </row>
    <row r="30" spans="1:3" ht="25.5" customHeight="1">
      <c r="A30" s="2" t="s">
        <v>30</v>
      </c>
      <c r="B30" s="1"/>
      <c r="C30" s="2"/>
    </row>
    <row r="31" spans="1:3" ht="46" customHeight="1">
      <c r="A31" s="3" t="s">
        <v>31</v>
      </c>
      <c r="B31" s="1"/>
      <c r="C31" s="1">
        <v>108712.9</v>
      </c>
    </row>
    <row r="32" spans="1:3" ht="62" hidden="1">
      <c r="A32" s="3" t="s">
        <v>32</v>
      </c>
      <c r="B32" s="1"/>
      <c r="C32" s="1"/>
    </row>
    <row r="33" spans="1:3" ht="26" customHeight="1">
      <c r="A33" s="2" t="s">
        <v>33</v>
      </c>
      <c r="B33" s="2"/>
      <c r="C33" s="2">
        <v>-70226.37</v>
      </c>
    </row>
    <row r="34" spans="1:3" ht="34" customHeight="1">
      <c r="A34" s="1" t="s">
        <v>34</v>
      </c>
      <c r="B34" s="1"/>
      <c r="C34" s="1"/>
    </row>
    <row r="35" spans="1:3" ht="28.5" customHeight="1">
      <c r="A35" s="1" t="s">
        <v>35</v>
      </c>
      <c r="B35" s="1"/>
      <c r="C35" s="1"/>
    </row>
    <row r="36" spans="1:3" ht="27.5" customHeight="1">
      <c r="A36" s="1" t="s">
        <v>64</v>
      </c>
      <c r="B36" s="1"/>
      <c r="C36" s="1"/>
    </row>
    <row r="37" spans="1:3" ht="15.5">
      <c r="A37" s="1" t="s">
        <v>36</v>
      </c>
      <c r="B37" s="1"/>
      <c r="C37" s="1"/>
    </row>
  </sheetData>
  <pageMargins left="0.7" right="0.7" top="0.75" bottom="0.75" header="0.3" footer="0.3"/>
  <pageSetup paperSize="9"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C37"/>
  <sheetViews>
    <sheetView topLeftCell="A19" workbookViewId="0">
      <selection activeCell="D31" sqref="D31"/>
    </sheetView>
  </sheetViews>
  <sheetFormatPr defaultRowHeight="14.5"/>
  <cols>
    <col min="1" max="1" width="45" customWidth="1"/>
    <col min="2" max="2" width="16" customWidth="1"/>
    <col min="3" max="3" width="15.08984375" customWidth="1"/>
  </cols>
  <sheetData>
    <row r="1" spans="1:3" ht="15.5">
      <c r="A1" s="1" t="s">
        <v>0</v>
      </c>
      <c r="B1" s="1"/>
      <c r="C1" s="1"/>
    </row>
    <row r="2" spans="1:3" ht="15.5">
      <c r="A2" s="1" t="s">
        <v>84</v>
      </c>
      <c r="B2" s="1" t="s">
        <v>48</v>
      </c>
      <c r="C2" s="1"/>
    </row>
    <row r="3" spans="1:3" ht="15.5">
      <c r="A3" s="1" t="s">
        <v>3</v>
      </c>
      <c r="B3" s="1"/>
      <c r="C3" s="1"/>
    </row>
    <row r="4" spans="1:3" ht="15.5">
      <c r="A4" s="1" t="s">
        <v>4</v>
      </c>
      <c r="B4" s="1"/>
      <c r="C4" s="1"/>
    </row>
    <row r="5" spans="1:3" ht="15.5">
      <c r="A5" s="1" t="s">
        <v>116</v>
      </c>
      <c r="B5" s="1"/>
      <c r="C5" s="1"/>
    </row>
    <row r="6" spans="1:3" ht="15.5">
      <c r="A6" s="1"/>
      <c r="B6" s="1"/>
      <c r="C6" s="1"/>
    </row>
    <row r="7" spans="1:3" ht="15.5">
      <c r="A7" s="1" t="s">
        <v>5</v>
      </c>
      <c r="B7" s="1" t="s">
        <v>6</v>
      </c>
      <c r="C7" s="1" t="s">
        <v>7</v>
      </c>
    </row>
    <row r="8" spans="1:3" ht="15.5">
      <c r="A8" s="2" t="s">
        <v>8</v>
      </c>
      <c r="B8" s="1"/>
      <c r="C8" s="2">
        <v>53625.81</v>
      </c>
    </row>
    <row r="9" spans="1:3" ht="46.5">
      <c r="A9" s="3" t="s">
        <v>9</v>
      </c>
      <c r="B9" s="4">
        <f>C9/12</f>
        <v>57421.470833333333</v>
      </c>
      <c r="C9" s="1">
        <v>689057.65</v>
      </c>
    </row>
    <row r="10" spans="1:3" ht="46.5">
      <c r="A10" s="3" t="s">
        <v>10</v>
      </c>
      <c r="B10" s="4">
        <f t="shared" ref="B10:B28" si="0">C10/12</f>
        <v>1475.8333333333333</v>
      </c>
      <c r="C10" s="1">
        <v>17710</v>
      </c>
    </row>
    <row r="11" spans="1:3" ht="15.5">
      <c r="A11" s="2" t="s">
        <v>11</v>
      </c>
      <c r="B11" s="4">
        <f t="shared" si="0"/>
        <v>58897.304166666669</v>
      </c>
      <c r="C11" s="2">
        <f>SUM(C9:C10)</f>
        <v>706767.65</v>
      </c>
    </row>
    <row r="12" spans="1:3" ht="15.5">
      <c r="A12" s="2" t="s">
        <v>12</v>
      </c>
      <c r="B12" s="4">
        <f t="shared" si="0"/>
        <v>0</v>
      </c>
      <c r="C12" s="1"/>
    </row>
    <row r="13" spans="1:3" ht="77.5">
      <c r="A13" s="3" t="s">
        <v>13</v>
      </c>
      <c r="B13" s="4">
        <f t="shared" si="0"/>
        <v>15600.703333333333</v>
      </c>
      <c r="C13" s="1">
        <f>153294.54+33913.9</f>
        <v>187208.44</v>
      </c>
    </row>
    <row r="14" spans="1:3" ht="77.5">
      <c r="A14" s="3" t="s">
        <v>14</v>
      </c>
      <c r="B14" s="4">
        <f t="shared" si="0"/>
        <v>10294.02</v>
      </c>
      <c r="C14" s="1">
        <f>48077.72+75450.52</f>
        <v>123528.24</v>
      </c>
    </row>
    <row r="15" spans="1:3" ht="62">
      <c r="A15" s="3" t="s">
        <v>15</v>
      </c>
      <c r="B15" s="4">
        <f t="shared" si="0"/>
        <v>0</v>
      </c>
      <c r="C15" s="1"/>
    </row>
    <row r="16" spans="1:3" ht="15.5">
      <c r="A16" s="1" t="s">
        <v>16</v>
      </c>
      <c r="B16" s="4">
        <f t="shared" si="0"/>
        <v>118.58333333333333</v>
      </c>
      <c r="C16" s="1">
        <v>1423</v>
      </c>
    </row>
    <row r="17" spans="1:3" ht="15.5">
      <c r="A17" s="1" t="s">
        <v>17</v>
      </c>
      <c r="B17" s="4">
        <f t="shared" si="0"/>
        <v>2150.9299999999998</v>
      </c>
      <c r="C17" s="1">
        <v>25811.16</v>
      </c>
    </row>
    <row r="18" spans="1:3" ht="15.5">
      <c r="A18" s="1" t="s">
        <v>18</v>
      </c>
      <c r="B18" s="4">
        <f t="shared" si="0"/>
        <v>160.79999999999998</v>
      </c>
      <c r="C18" s="1">
        <v>1929.6</v>
      </c>
    </row>
    <row r="19" spans="1:3" ht="15.5">
      <c r="A19" s="1" t="s">
        <v>19</v>
      </c>
      <c r="B19" s="4">
        <f t="shared" si="0"/>
        <v>0</v>
      </c>
      <c r="C19" s="1"/>
    </row>
    <row r="20" spans="1:3" ht="15.5">
      <c r="A20" s="1" t="s">
        <v>20</v>
      </c>
      <c r="B20" s="4">
        <f t="shared" si="0"/>
        <v>1175.4766666666667</v>
      </c>
      <c r="C20" s="1">
        <v>14105.72</v>
      </c>
    </row>
    <row r="21" spans="1:3" ht="15.5">
      <c r="A21" s="1" t="s">
        <v>21</v>
      </c>
      <c r="B21" s="4">
        <f t="shared" si="0"/>
        <v>1380.0808333333334</v>
      </c>
      <c r="C21" s="1">
        <v>16560.97</v>
      </c>
    </row>
    <row r="22" spans="1:3" ht="15.5">
      <c r="A22" s="1" t="s">
        <v>22</v>
      </c>
      <c r="B22" s="4">
        <f t="shared" si="0"/>
        <v>5368.5941666666668</v>
      </c>
      <c r="C22" s="1">
        <v>64423.13</v>
      </c>
    </row>
    <row r="23" spans="1:3" ht="15.5">
      <c r="A23" s="1" t="s">
        <v>23</v>
      </c>
      <c r="B23" s="4">
        <f t="shared" si="0"/>
        <v>619.54833333333329</v>
      </c>
      <c r="C23" s="1">
        <v>7434.58</v>
      </c>
    </row>
    <row r="24" spans="1:3" ht="15.5">
      <c r="A24" s="1" t="s">
        <v>24</v>
      </c>
      <c r="B24" s="4">
        <f t="shared" si="0"/>
        <v>3750.3183333333332</v>
      </c>
      <c r="C24" s="1">
        <v>45003.82</v>
      </c>
    </row>
    <row r="25" spans="1:3" ht="15.5">
      <c r="A25" s="1" t="s">
        <v>25</v>
      </c>
      <c r="B25" s="4">
        <f t="shared" si="0"/>
        <v>366.68833333333333</v>
      </c>
      <c r="C25" s="1">
        <v>4400.26</v>
      </c>
    </row>
    <row r="26" spans="1:3" ht="15.5">
      <c r="A26" s="1" t="s">
        <v>26</v>
      </c>
      <c r="B26" s="4">
        <f t="shared" si="0"/>
        <v>0</v>
      </c>
      <c r="C26" s="1"/>
    </row>
    <row r="27" spans="1:3" ht="15.5">
      <c r="A27" s="1" t="s">
        <v>27</v>
      </c>
      <c r="B27" s="4">
        <f t="shared" si="0"/>
        <v>16374.831666666667</v>
      </c>
      <c r="C27" s="1">
        <v>196497.98</v>
      </c>
    </row>
    <row r="28" spans="1:3" ht="18.5" customHeight="1">
      <c r="A28" s="2" t="s">
        <v>28</v>
      </c>
      <c r="B28" s="4">
        <f t="shared" si="0"/>
        <v>57360.57499999999</v>
      </c>
      <c r="C28" s="2">
        <f>SUM(C13:C27)</f>
        <v>688326.89999999991</v>
      </c>
    </row>
    <row r="29" spans="1:3" ht="25" customHeight="1">
      <c r="A29" s="2" t="s">
        <v>29</v>
      </c>
      <c r="B29" s="1"/>
      <c r="C29" s="2">
        <v>72066.559999999998</v>
      </c>
    </row>
    <row r="30" spans="1:3" ht="19.5" customHeight="1">
      <c r="A30" s="2" t="s">
        <v>30</v>
      </c>
      <c r="B30" s="1"/>
      <c r="C30" s="2"/>
    </row>
    <row r="31" spans="1:3" ht="38.5" customHeight="1">
      <c r="A31" s="3" t="s">
        <v>31</v>
      </c>
      <c r="B31" s="1"/>
      <c r="C31" s="1">
        <v>45573.66</v>
      </c>
    </row>
    <row r="32" spans="1:3" ht="62" hidden="1">
      <c r="A32" s="3" t="s">
        <v>32</v>
      </c>
      <c r="B32" s="1"/>
      <c r="C32" s="1"/>
    </row>
    <row r="33" spans="1:3" ht="30" customHeight="1">
      <c r="A33" s="2" t="s">
        <v>33</v>
      </c>
      <c r="B33" s="2"/>
      <c r="C33" s="2">
        <v>26492.9</v>
      </c>
    </row>
    <row r="34" spans="1:3" ht="40" customHeight="1">
      <c r="A34" s="1" t="s">
        <v>34</v>
      </c>
      <c r="B34" s="1"/>
      <c r="C34" s="1"/>
    </row>
    <row r="35" spans="1:3" ht="30.5" customHeight="1">
      <c r="A35" s="1" t="s">
        <v>35</v>
      </c>
      <c r="B35" s="1"/>
      <c r="C35" s="1"/>
    </row>
    <row r="36" spans="1:3" ht="23" customHeight="1">
      <c r="A36" s="1" t="s">
        <v>64</v>
      </c>
      <c r="B36" s="1"/>
      <c r="C36" s="1"/>
    </row>
    <row r="37" spans="1:3" ht="32" customHeight="1">
      <c r="A37" s="1" t="s">
        <v>36</v>
      </c>
      <c r="B37" s="1"/>
      <c r="C37" s="1"/>
    </row>
  </sheetData>
  <pageMargins left="0.7" right="0.7" top="0.75" bottom="0.75" header="0.3" footer="0.3"/>
  <pageSetup paperSize="9" orientation="portrait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C37"/>
  <sheetViews>
    <sheetView topLeftCell="A18" workbookViewId="0">
      <selection activeCell="C34" sqref="C34"/>
    </sheetView>
  </sheetViews>
  <sheetFormatPr defaultRowHeight="14.5"/>
  <cols>
    <col min="1" max="1" width="47.1796875" customWidth="1"/>
    <col min="2" max="2" width="17.453125" customWidth="1"/>
    <col min="3" max="3" width="16.453125" customWidth="1"/>
  </cols>
  <sheetData>
    <row r="1" spans="1:3" ht="15.5">
      <c r="A1" s="1" t="s">
        <v>0</v>
      </c>
      <c r="B1" s="1"/>
      <c r="C1" s="1"/>
    </row>
    <row r="2" spans="1:3" ht="15.5">
      <c r="A2" s="1" t="s">
        <v>85</v>
      </c>
      <c r="B2" s="1" t="s">
        <v>48</v>
      </c>
      <c r="C2" s="1"/>
    </row>
    <row r="3" spans="1:3" ht="15.5">
      <c r="A3" s="1" t="s">
        <v>3</v>
      </c>
      <c r="B3" s="1"/>
      <c r="C3" s="1"/>
    </row>
    <row r="4" spans="1:3" ht="15.5">
      <c r="A4" s="1" t="s">
        <v>4</v>
      </c>
      <c r="B4" s="1"/>
      <c r="C4" s="1"/>
    </row>
    <row r="5" spans="1:3" ht="15.5">
      <c r="A5" s="1" t="s">
        <v>116</v>
      </c>
      <c r="B5" s="1"/>
      <c r="C5" s="1"/>
    </row>
    <row r="6" spans="1:3" ht="15.5">
      <c r="A6" s="1"/>
      <c r="B6" s="1"/>
      <c r="C6" s="1"/>
    </row>
    <row r="7" spans="1:3" ht="15.5">
      <c r="A7" s="1" t="s">
        <v>5</v>
      </c>
      <c r="B7" s="1" t="s">
        <v>6</v>
      </c>
      <c r="C7" s="1" t="s">
        <v>7</v>
      </c>
    </row>
    <row r="8" spans="1:3" ht="15.5">
      <c r="A8" s="2" t="s">
        <v>8</v>
      </c>
      <c r="B8" s="1"/>
      <c r="C8" s="2">
        <v>-140562.26</v>
      </c>
    </row>
    <row r="9" spans="1:3" ht="31">
      <c r="A9" s="3" t="s">
        <v>9</v>
      </c>
      <c r="B9" s="4">
        <f>C9/12</f>
        <v>79656.313333333339</v>
      </c>
      <c r="C9" s="1">
        <v>955875.76</v>
      </c>
    </row>
    <row r="10" spans="1:3" ht="46.5">
      <c r="A10" s="3" t="s">
        <v>10</v>
      </c>
      <c r="B10" s="4">
        <f t="shared" ref="B10:B28" si="0">C10/12</f>
        <v>5850.3558333333322</v>
      </c>
      <c r="C10" s="1">
        <f>41664.27+28540</f>
        <v>70204.26999999999</v>
      </c>
    </row>
    <row r="11" spans="1:3" ht="15.5">
      <c r="A11" s="2" t="s">
        <v>11</v>
      </c>
      <c r="B11" s="4">
        <f t="shared" si="0"/>
        <v>85506.669166666674</v>
      </c>
      <c r="C11" s="2">
        <f>SUM(C9:C10)</f>
        <v>1026080.03</v>
      </c>
    </row>
    <row r="12" spans="1:3" ht="15.5">
      <c r="A12" s="2" t="s">
        <v>12</v>
      </c>
      <c r="B12" s="4">
        <f t="shared" si="0"/>
        <v>0</v>
      </c>
      <c r="C12" s="1"/>
    </row>
    <row r="13" spans="1:3" ht="77.5">
      <c r="A13" s="3" t="s">
        <v>13</v>
      </c>
      <c r="B13" s="4">
        <f t="shared" si="0"/>
        <v>22388.539999999997</v>
      </c>
      <c r="C13" s="1">
        <f>219992.7+48669.78</f>
        <v>268662.48</v>
      </c>
    </row>
    <row r="14" spans="1:3" ht="80" customHeight="1">
      <c r="A14" s="3" t="s">
        <v>14</v>
      </c>
      <c r="B14" s="4">
        <f t="shared" si="0"/>
        <v>16935.014999999999</v>
      </c>
      <c r="C14" s="1">
        <f>85992.14+117228.04</f>
        <v>203220.18</v>
      </c>
    </row>
    <row r="15" spans="1:3" ht="46.5">
      <c r="A15" s="3" t="s">
        <v>15</v>
      </c>
      <c r="B15" s="4">
        <f t="shared" si="0"/>
        <v>0</v>
      </c>
      <c r="C15" s="1"/>
    </row>
    <row r="16" spans="1:3" ht="15.5">
      <c r="A16" s="1" t="s">
        <v>16</v>
      </c>
      <c r="B16" s="4">
        <f t="shared" si="0"/>
        <v>11512.333333333334</v>
      </c>
      <c r="C16" s="1">
        <v>138148</v>
      </c>
    </row>
    <row r="17" spans="1:3" ht="15.5">
      <c r="A17" s="1" t="s">
        <v>17</v>
      </c>
      <c r="B17" s="4">
        <f t="shared" si="0"/>
        <v>2979.65</v>
      </c>
      <c r="C17" s="1">
        <v>35755.800000000003</v>
      </c>
    </row>
    <row r="18" spans="1:3" ht="15.5">
      <c r="A18" s="1" t="s">
        <v>18</v>
      </c>
      <c r="B18" s="4">
        <f t="shared" si="0"/>
        <v>706.60666666666668</v>
      </c>
      <c r="C18" s="1">
        <v>8479.2800000000007</v>
      </c>
    </row>
    <row r="19" spans="1:3" ht="15.5">
      <c r="A19" s="1" t="s">
        <v>19</v>
      </c>
      <c r="B19" s="4">
        <f t="shared" si="0"/>
        <v>0</v>
      </c>
      <c r="C19" s="1"/>
    </row>
    <row r="20" spans="1:3" ht="15.5">
      <c r="A20" s="1" t="s">
        <v>20</v>
      </c>
      <c r="B20" s="4">
        <f t="shared" si="0"/>
        <v>1081.4383333333333</v>
      </c>
      <c r="C20" s="1">
        <v>12977.26</v>
      </c>
    </row>
    <row r="21" spans="1:3" ht="15.5">
      <c r="A21" s="1" t="s">
        <v>21</v>
      </c>
      <c r="B21" s="4">
        <f t="shared" si="0"/>
        <v>1860.72</v>
      </c>
      <c r="C21" s="1">
        <v>22328.639999999999</v>
      </c>
    </row>
    <row r="22" spans="1:3" ht="15.5">
      <c r="A22" s="1" t="s">
        <v>22</v>
      </c>
      <c r="B22" s="4">
        <f t="shared" si="0"/>
        <v>7517.6925000000001</v>
      </c>
      <c r="C22" s="1">
        <v>90212.31</v>
      </c>
    </row>
    <row r="23" spans="1:3" ht="15.5">
      <c r="A23" s="1" t="s">
        <v>23</v>
      </c>
      <c r="B23" s="4">
        <f t="shared" si="0"/>
        <v>59.426666666666669</v>
      </c>
      <c r="C23" s="1">
        <v>713.12</v>
      </c>
    </row>
    <row r="24" spans="1:3" ht="15.5">
      <c r="A24" s="1" t="s">
        <v>24</v>
      </c>
      <c r="B24" s="4">
        <f t="shared" si="0"/>
        <v>5084.9508333333333</v>
      </c>
      <c r="C24" s="1">
        <v>61019.41</v>
      </c>
    </row>
    <row r="25" spans="1:3" ht="15.5">
      <c r="A25" s="1" t="s">
        <v>25</v>
      </c>
      <c r="B25" s="4">
        <f t="shared" si="0"/>
        <v>332.435</v>
      </c>
      <c r="C25" s="1">
        <v>3989.22</v>
      </c>
    </row>
    <row r="26" spans="1:3" ht="15.5">
      <c r="A26" s="1" t="s">
        <v>26</v>
      </c>
      <c r="B26" s="4">
        <f t="shared" si="0"/>
        <v>15059.75</v>
      </c>
      <c r="C26" s="1">
        <v>180717</v>
      </c>
    </row>
    <row r="27" spans="1:3" ht="15.5">
      <c r="A27" s="1" t="s">
        <v>27</v>
      </c>
      <c r="B27" s="4">
        <f t="shared" si="0"/>
        <v>17095.206666666669</v>
      </c>
      <c r="C27" s="1">
        <v>205142.48</v>
      </c>
    </row>
    <row r="28" spans="1:3" ht="15.5">
      <c r="A28" s="2" t="s">
        <v>28</v>
      </c>
      <c r="B28" s="4">
        <f t="shared" si="0"/>
        <v>102613.765</v>
      </c>
      <c r="C28" s="2">
        <f>SUM(C13:C27)</f>
        <v>1231365.18</v>
      </c>
    </row>
    <row r="29" spans="1:3" ht="24.5" customHeight="1">
      <c r="A29" s="2" t="s">
        <v>29</v>
      </c>
      <c r="B29" s="1"/>
      <c r="C29" s="2"/>
    </row>
    <row r="30" spans="1:3" ht="30" customHeight="1">
      <c r="A30" s="2" t="s">
        <v>30</v>
      </c>
      <c r="B30" s="1"/>
      <c r="C30" s="2">
        <v>345847.41</v>
      </c>
    </row>
    <row r="31" spans="1:3" ht="47.5" customHeight="1">
      <c r="A31" s="3" t="s">
        <v>31</v>
      </c>
      <c r="B31" s="1"/>
      <c r="C31" s="1">
        <v>78300.42</v>
      </c>
    </row>
    <row r="32" spans="1:3" ht="62" hidden="1">
      <c r="A32" s="3" t="s">
        <v>32</v>
      </c>
      <c r="B32" s="1"/>
      <c r="C32" s="1"/>
    </row>
    <row r="33" spans="1:3" ht="23.5" customHeight="1">
      <c r="A33" s="2" t="s">
        <v>33</v>
      </c>
      <c r="B33" s="2"/>
      <c r="C33" s="2">
        <v>-424147.83</v>
      </c>
    </row>
    <row r="34" spans="1:3" ht="44.5" customHeight="1">
      <c r="A34" s="1" t="s">
        <v>34</v>
      </c>
      <c r="B34" s="1"/>
      <c r="C34" s="1"/>
    </row>
    <row r="35" spans="1:3" ht="32" customHeight="1">
      <c r="A35" s="1" t="s">
        <v>35</v>
      </c>
      <c r="B35" s="1"/>
      <c r="C35" s="1"/>
    </row>
    <row r="36" spans="1:3" ht="28.5" customHeight="1">
      <c r="A36" s="1" t="s">
        <v>64</v>
      </c>
      <c r="B36" s="1"/>
      <c r="C36" s="1"/>
    </row>
    <row r="37" spans="1:3" ht="29" customHeight="1">
      <c r="A37" s="1" t="s">
        <v>36</v>
      </c>
      <c r="B37" s="1"/>
      <c r="C37" s="1"/>
    </row>
  </sheetData>
  <pageMargins left="0.7" right="0.7" top="0.75" bottom="0.75" header="0.3" footer="0.3"/>
  <pageSetup paperSize="9" orientation="portrait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C37"/>
  <sheetViews>
    <sheetView workbookViewId="0">
      <selection activeCell="C5" sqref="C5"/>
    </sheetView>
  </sheetViews>
  <sheetFormatPr defaultRowHeight="14.5"/>
  <cols>
    <col min="1" max="1" width="46.453125" customWidth="1"/>
    <col min="2" max="2" width="16.81640625" customWidth="1"/>
    <col min="3" max="3" width="15.54296875" customWidth="1"/>
  </cols>
  <sheetData>
    <row r="1" spans="1:3" ht="15.5">
      <c r="A1" s="1" t="s">
        <v>0</v>
      </c>
      <c r="B1" s="1"/>
      <c r="C1" s="1"/>
    </row>
    <row r="2" spans="1:3" ht="15.5">
      <c r="A2" s="1" t="s">
        <v>86</v>
      </c>
      <c r="B2" s="1" t="s">
        <v>48</v>
      </c>
      <c r="C2" s="1"/>
    </row>
    <row r="3" spans="1:3" ht="15.5">
      <c r="A3" s="1" t="s">
        <v>3</v>
      </c>
      <c r="B3" s="1"/>
      <c r="C3" s="1"/>
    </row>
    <row r="4" spans="1:3" ht="15.5">
      <c r="A4" s="1" t="s">
        <v>4</v>
      </c>
      <c r="B4" s="1"/>
      <c r="C4" s="1"/>
    </row>
    <row r="5" spans="1:3" ht="15.5">
      <c r="A5" s="1" t="s">
        <v>116</v>
      </c>
      <c r="B5" s="1"/>
      <c r="C5" s="1"/>
    </row>
    <row r="6" spans="1:3" ht="15.5">
      <c r="A6" s="1"/>
      <c r="B6" s="1"/>
      <c r="C6" s="1"/>
    </row>
    <row r="7" spans="1:3" ht="15.5">
      <c r="A7" s="1" t="s">
        <v>5</v>
      </c>
      <c r="B7" s="1" t="s">
        <v>6</v>
      </c>
      <c r="C7" s="1" t="s">
        <v>7</v>
      </c>
    </row>
    <row r="8" spans="1:3" ht="15.5">
      <c r="A8" s="2" t="s">
        <v>8</v>
      </c>
      <c r="B8" s="1"/>
      <c r="C8" s="2">
        <v>131343.87</v>
      </c>
    </row>
    <row r="9" spans="1:3" ht="33.5" customHeight="1">
      <c r="A9" s="3" t="s">
        <v>9</v>
      </c>
      <c r="B9" s="4">
        <f>C9/12</f>
        <v>62281.065000000002</v>
      </c>
      <c r="C9" s="1">
        <v>747372.78</v>
      </c>
    </row>
    <row r="10" spans="1:3" ht="46.5">
      <c r="A10" s="3" t="s">
        <v>10</v>
      </c>
      <c r="B10" s="4">
        <f t="shared" ref="B10:B28" si="0">C10/12</f>
        <v>3172.4</v>
      </c>
      <c r="C10" s="1">
        <v>38068.800000000003</v>
      </c>
    </row>
    <row r="11" spans="1:3" ht="15.5">
      <c r="A11" s="2" t="s">
        <v>11</v>
      </c>
      <c r="B11" s="4">
        <f t="shared" si="0"/>
        <v>65453.465000000004</v>
      </c>
      <c r="C11" s="2">
        <f>SUM(C9:C10)</f>
        <v>785441.58000000007</v>
      </c>
    </row>
    <row r="12" spans="1:3" ht="15.5">
      <c r="A12" s="2" t="s">
        <v>12</v>
      </c>
      <c r="B12" s="4">
        <f t="shared" si="0"/>
        <v>0</v>
      </c>
      <c r="C12" s="1"/>
    </row>
    <row r="13" spans="1:3" ht="77.5">
      <c r="A13" s="3" t="s">
        <v>13</v>
      </c>
      <c r="B13" s="4">
        <f t="shared" si="0"/>
        <v>16943.50333333333</v>
      </c>
      <c r="C13" s="1">
        <f>166489.08+36832.96</f>
        <v>203322.03999999998</v>
      </c>
    </row>
    <row r="14" spans="1:3" ht="77.5">
      <c r="A14" s="3" t="s">
        <v>14</v>
      </c>
      <c r="B14" s="4">
        <f t="shared" si="0"/>
        <v>10077.496666666666</v>
      </c>
      <c r="C14" s="1">
        <f>50509.28+70420.68</f>
        <v>120929.95999999999</v>
      </c>
    </row>
    <row r="15" spans="1:3" ht="46.5">
      <c r="A15" s="3" t="s">
        <v>15</v>
      </c>
      <c r="B15" s="4">
        <f t="shared" si="0"/>
        <v>0</v>
      </c>
      <c r="C15" s="1"/>
    </row>
    <row r="16" spans="1:3" ht="15.5">
      <c r="A16" s="1" t="s">
        <v>16</v>
      </c>
      <c r="B16" s="4">
        <f t="shared" si="0"/>
        <v>4522.333333333333</v>
      </c>
      <c r="C16" s="1">
        <v>54268</v>
      </c>
    </row>
    <row r="17" spans="1:3" ht="15.5">
      <c r="A17" s="1" t="s">
        <v>17</v>
      </c>
      <c r="B17" s="4">
        <f t="shared" si="0"/>
        <v>2344.21</v>
      </c>
      <c r="C17" s="1">
        <v>28130.52</v>
      </c>
    </row>
    <row r="18" spans="1:3" ht="15.5">
      <c r="A18" s="1" t="s">
        <v>18</v>
      </c>
      <c r="B18" s="4">
        <f t="shared" si="0"/>
        <v>228.65</v>
      </c>
      <c r="C18" s="1">
        <v>2743.8</v>
      </c>
    </row>
    <row r="19" spans="1:3" ht="15.5">
      <c r="A19" s="1" t="s">
        <v>19</v>
      </c>
      <c r="B19" s="4">
        <f t="shared" si="0"/>
        <v>0</v>
      </c>
      <c r="C19" s="1"/>
    </row>
    <row r="20" spans="1:3" ht="15.5">
      <c r="A20" s="1" t="s">
        <v>20</v>
      </c>
      <c r="B20" s="4">
        <f t="shared" si="0"/>
        <v>1175.4766666666667</v>
      </c>
      <c r="C20" s="1">
        <v>14105.72</v>
      </c>
    </row>
    <row r="21" spans="1:3" ht="15.5">
      <c r="A21" s="1" t="s">
        <v>21</v>
      </c>
      <c r="B21" s="4">
        <f t="shared" si="0"/>
        <v>1524.5366666666666</v>
      </c>
      <c r="C21" s="1">
        <v>18294.439999999999</v>
      </c>
    </row>
    <row r="22" spans="1:3" ht="15.5">
      <c r="A22" s="1" t="s">
        <v>22</v>
      </c>
      <c r="B22" s="4">
        <f t="shared" si="0"/>
        <v>5849.4433333333336</v>
      </c>
      <c r="C22" s="1">
        <v>70193.320000000007</v>
      </c>
    </row>
    <row r="23" spans="1:3" ht="15.5">
      <c r="A23" s="1" t="s">
        <v>23</v>
      </c>
      <c r="B23" s="4">
        <f t="shared" si="0"/>
        <v>66.079166666666666</v>
      </c>
      <c r="C23" s="1">
        <v>792.95</v>
      </c>
    </row>
    <row r="24" spans="1:3" ht="15.5">
      <c r="A24" s="1" t="s">
        <v>24</v>
      </c>
      <c r="B24" s="4">
        <f t="shared" si="0"/>
        <v>4140.2033333333338</v>
      </c>
      <c r="C24" s="1">
        <v>49682.44</v>
      </c>
    </row>
    <row r="25" spans="1:3" ht="15.5">
      <c r="A25" s="1" t="s">
        <v>25</v>
      </c>
      <c r="B25" s="4">
        <f t="shared" si="0"/>
        <v>332.71083333333337</v>
      </c>
      <c r="C25" s="1">
        <v>3992.53</v>
      </c>
    </row>
    <row r="26" spans="1:3" ht="15.5">
      <c r="A26" s="1" t="s">
        <v>26</v>
      </c>
      <c r="B26" s="4">
        <f t="shared" si="0"/>
        <v>0</v>
      </c>
      <c r="C26" s="1"/>
    </row>
    <row r="27" spans="1:3" ht="15.5">
      <c r="A27" s="1" t="s">
        <v>27</v>
      </c>
      <c r="B27" s="4">
        <f t="shared" si="0"/>
        <v>17468.280833333334</v>
      </c>
      <c r="C27" s="1">
        <v>209619.37</v>
      </c>
    </row>
    <row r="28" spans="1:3" ht="15.5">
      <c r="A28" s="2" t="s">
        <v>28</v>
      </c>
      <c r="B28" s="4">
        <f t="shared" si="0"/>
        <v>64672.924166666664</v>
      </c>
      <c r="C28" s="2">
        <f>SUM(C13:C27)</f>
        <v>776075.09</v>
      </c>
    </row>
    <row r="29" spans="1:3" ht="22.5" customHeight="1">
      <c r="A29" s="2" t="s">
        <v>29</v>
      </c>
      <c r="B29" s="1"/>
      <c r="C29" s="2">
        <v>140710.35999999999</v>
      </c>
    </row>
    <row r="30" spans="1:3" ht="22" customHeight="1">
      <c r="A30" s="2" t="s">
        <v>30</v>
      </c>
      <c r="B30" s="1"/>
      <c r="C30" s="2"/>
    </row>
    <row r="31" spans="1:3" ht="48.5" customHeight="1">
      <c r="A31" s="3" t="s">
        <v>31</v>
      </c>
      <c r="B31" s="1"/>
      <c r="C31" s="1">
        <v>227934.02</v>
      </c>
    </row>
    <row r="32" spans="1:3" ht="0.5" customHeight="1">
      <c r="A32" s="3" t="s">
        <v>32</v>
      </c>
      <c r="B32" s="1"/>
      <c r="C32" s="1"/>
    </row>
    <row r="33" spans="1:3" ht="37.5" customHeight="1">
      <c r="A33" s="2" t="s">
        <v>33</v>
      </c>
      <c r="B33" s="2"/>
      <c r="C33" s="2">
        <v>-87223.66</v>
      </c>
    </row>
    <row r="34" spans="1:3" ht="38.5" customHeight="1">
      <c r="A34" s="1" t="s">
        <v>34</v>
      </c>
      <c r="B34" s="1"/>
      <c r="C34" s="1"/>
    </row>
    <row r="35" spans="1:3" ht="26" customHeight="1">
      <c r="A35" s="1" t="s">
        <v>35</v>
      </c>
      <c r="B35" s="1"/>
      <c r="C35" s="1"/>
    </row>
    <row r="36" spans="1:3" ht="24.5" customHeight="1">
      <c r="A36" s="1" t="s">
        <v>64</v>
      </c>
      <c r="B36" s="1"/>
      <c r="C36" s="1"/>
    </row>
    <row r="37" spans="1:3" ht="25" customHeight="1">
      <c r="A37" s="1" t="s">
        <v>36</v>
      </c>
      <c r="B37" s="1"/>
      <c r="C37" s="1"/>
    </row>
  </sheetData>
  <pageMargins left="0.7" right="0.7" top="0.75" bottom="0.75" header="0.3" footer="0.3"/>
  <pageSetup paperSize="9" orientation="portrait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C37"/>
  <sheetViews>
    <sheetView topLeftCell="A25" workbookViewId="0">
      <selection activeCell="B33" sqref="B33"/>
    </sheetView>
  </sheetViews>
  <sheetFormatPr defaultRowHeight="14.5"/>
  <cols>
    <col min="1" max="1" width="47.453125" customWidth="1"/>
    <col min="2" max="2" width="14.6328125" customWidth="1"/>
    <col min="3" max="3" width="14.54296875" customWidth="1"/>
  </cols>
  <sheetData>
    <row r="1" spans="1:3" ht="15.5">
      <c r="A1" s="1" t="s">
        <v>0</v>
      </c>
      <c r="B1" s="1"/>
      <c r="C1" s="1"/>
    </row>
    <row r="2" spans="1:3" ht="15.5">
      <c r="A2" s="1" t="s">
        <v>87</v>
      </c>
      <c r="B2" s="1" t="s">
        <v>48</v>
      </c>
      <c r="C2" s="1"/>
    </row>
    <row r="3" spans="1:3" ht="15.5">
      <c r="A3" s="1" t="s">
        <v>3</v>
      </c>
      <c r="B3" s="1"/>
      <c r="C3" s="1"/>
    </row>
    <row r="4" spans="1:3" ht="15.5">
      <c r="A4" s="1" t="s">
        <v>4</v>
      </c>
      <c r="B4" s="1"/>
      <c r="C4" s="1"/>
    </row>
    <row r="5" spans="1:3" ht="15.5">
      <c r="A5" s="1" t="s">
        <v>116</v>
      </c>
      <c r="B5" s="1"/>
      <c r="C5" s="1"/>
    </row>
    <row r="6" spans="1:3" ht="15.5">
      <c r="A6" s="1"/>
      <c r="B6" s="1"/>
      <c r="C6" s="1"/>
    </row>
    <row r="7" spans="1:3" ht="15.5">
      <c r="A7" s="1" t="s">
        <v>5</v>
      </c>
      <c r="B7" s="1" t="s">
        <v>6</v>
      </c>
      <c r="C7" s="1" t="s">
        <v>7</v>
      </c>
    </row>
    <row r="8" spans="1:3" ht="15.5">
      <c r="A8" s="2" t="s">
        <v>8</v>
      </c>
      <c r="B8" s="1"/>
      <c r="C8" s="2">
        <v>137128.73000000001</v>
      </c>
    </row>
    <row r="9" spans="1:3" ht="32.5" customHeight="1">
      <c r="A9" s="3" t="s">
        <v>9</v>
      </c>
      <c r="B9" s="4">
        <f>C9/12</f>
        <v>62010.488333333335</v>
      </c>
      <c r="C9" s="1">
        <v>744125.86</v>
      </c>
    </row>
    <row r="10" spans="1:3" ht="46.5">
      <c r="A10" s="3" t="s">
        <v>10</v>
      </c>
      <c r="B10" s="4">
        <f t="shared" ref="B10:B28" si="0">C10/12</f>
        <v>3015.7333333333336</v>
      </c>
      <c r="C10" s="1">
        <v>36188.800000000003</v>
      </c>
    </row>
    <row r="11" spans="1:3" ht="15.5">
      <c r="A11" s="2" t="s">
        <v>11</v>
      </c>
      <c r="B11" s="4">
        <f t="shared" si="0"/>
        <v>65026.221666666672</v>
      </c>
      <c r="C11" s="2">
        <f>SUM(C9:C10)</f>
        <v>780314.66</v>
      </c>
    </row>
    <row r="12" spans="1:3" ht="15.5">
      <c r="A12" s="2" t="s">
        <v>12</v>
      </c>
      <c r="B12" s="4">
        <f t="shared" si="0"/>
        <v>0</v>
      </c>
      <c r="C12" s="1"/>
    </row>
    <row r="13" spans="1:3" ht="77.5">
      <c r="A13" s="3" t="s">
        <v>13</v>
      </c>
      <c r="B13" s="4">
        <f t="shared" si="0"/>
        <v>16951.068333333333</v>
      </c>
      <c r="C13" s="1">
        <f>166563.36+36849.46</f>
        <v>203412.81999999998</v>
      </c>
    </row>
    <row r="14" spans="1:3" ht="77.5">
      <c r="A14" s="3" t="s">
        <v>14</v>
      </c>
      <c r="B14" s="4">
        <f t="shared" si="0"/>
        <v>10142.550000000001</v>
      </c>
      <c r="C14" s="1">
        <f>47924.24+73786.36</f>
        <v>121710.6</v>
      </c>
    </row>
    <row r="15" spans="1:3" ht="46.5">
      <c r="A15" s="3" t="s">
        <v>15</v>
      </c>
      <c r="B15" s="4">
        <f t="shared" si="0"/>
        <v>0</v>
      </c>
      <c r="C15" s="1"/>
    </row>
    <row r="16" spans="1:3" ht="15.5">
      <c r="A16" s="1" t="s">
        <v>16</v>
      </c>
      <c r="B16" s="4">
        <f t="shared" si="0"/>
        <v>1721.5833333333333</v>
      </c>
      <c r="C16" s="1">
        <v>20659</v>
      </c>
    </row>
    <row r="17" spans="1:3" ht="15.5">
      <c r="A17" s="1" t="s">
        <v>17</v>
      </c>
      <c r="B17" s="4">
        <f t="shared" si="0"/>
        <v>2357.11</v>
      </c>
      <c r="C17" s="1">
        <v>28285.32</v>
      </c>
    </row>
    <row r="18" spans="1:3" ht="15.5">
      <c r="A18" s="1" t="s">
        <v>18</v>
      </c>
      <c r="B18" s="4">
        <f t="shared" si="0"/>
        <v>227.83</v>
      </c>
      <c r="C18" s="1">
        <v>2733.96</v>
      </c>
    </row>
    <row r="19" spans="1:3" ht="15.5">
      <c r="A19" s="1" t="s">
        <v>19</v>
      </c>
      <c r="B19" s="4">
        <f t="shared" si="0"/>
        <v>0</v>
      </c>
      <c r="C19" s="1"/>
    </row>
    <row r="20" spans="1:3" ht="15.5">
      <c r="A20" s="1" t="s">
        <v>20</v>
      </c>
      <c r="B20" s="4">
        <f t="shared" si="0"/>
        <v>1175.4766666666667</v>
      </c>
      <c r="C20" s="1">
        <v>14105.72</v>
      </c>
    </row>
    <row r="21" spans="1:3" ht="15.5">
      <c r="A21" s="1" t="s">
        <v>21</v>
      </c>
      <c r="B21" s="4">
        <f t="shared" si="0"/>
        <v>1559.3425</v>
      </c>
      <c r="C21" s="1">
        <v>18712.11</v>
      </c>
    </row>
    <row r="22" spans="1:3" ht="15.5">
      <c r="A22" s="1" t="s">
        <v>22</v>
      </c>
      <c r="B22" s="4">
        <f t="shared" si="0"/>
        <v>5880.7041666666664</v>
      </c>
      <c r="C22" s="1">
        <v>70568.45</v>
      </c>
    </row>
    <row r="23" spans="1:3" ht="15.5">
      <c r="A23" s="1" t="s">
        <v>23</v>
      </c>
      <c r="B23" s="4">
        <f t="shared" si="0"/>
        <v>67.852500000000006</v>
      </c>
      <c r="C23" s="1">
        <v>814.23</v>
      </c>
    </row>
    <row r="24" spans="1:3" ht="15.5">
      <c r="A24" s="1" t="s">
        <v>24</v>
      </c>
      <c r="B24" s="4">
        <f t="shared" si="0"/>
        <v>4238.6883333333335</v>
      </c>
      <c r="C24" s="1">
        <v>50864.26</v>
      </c>
    </row>
    <row r="25" spans="1:3" ht="15.5">
      <c r="A25" s="1" t="s">
        <v>25</v>
      </c>
      <c r="B25" s="4">
        <f t="shared" si="0"/>
        <v>332.94333333333333</v>
      </c>
      <c r="C25" s="1">
        <v>3995.32</v>
      </c>
    </row>
    <row r="26" spans="1:3" ht="15.5">
      <c r="A26" s="1" t="s">
        <v>26</v>
      </c>
      <c r="B26" s="4">
        <f t="shared" si="0"/>
        <v>0</v>
      </c>
      <c r="C26" s="1"/>
    </row>
    <row r="27" spans="1:3" ht="15.5">
      <c r="A27" s="1" t="s">
        <v>27</v>
      </c>
      <c r="B27" s="4">
        <f t="shared" si="0"/>
        <v>19622.701666666668</v>
      </c>
      <c r="C27" s="1">
        <v>235472.42</v>
      </c>
    </row>
    <row r="28" spans="1:3" ht="15.5">
      <c r="A28" s="2" t="s">
        <v>28</v>
      </c>
      <c r="B28" s="4">
        <f t="shared" si="0"/>
        <v>64277.85083333333</v>
      </c>
      <c r="C28" s="2">
        <f>SUM(C13:C27)</f>
        <v>771334.21</v>
      </c>
    </row>
    <row r="29" spans="1:3" ht="26" customHeight="1">
      <c r="A29" s="2" t="s">
        <v>29</v>
      </c>
      <c r="B29" s="1"/>
      <c r="C29" s="2">
        <v>146109.18</v>
      </c>
    </row>
    <row r="30" spans="1:3" ht="23.5" customHeight="1">
      <c r="A30" s="2" t="s">
        <v>30</v>
      </c>
      <c r="B30" s="1"/>
      <c r="C30" s="2"/>
    </row>
    <row r="31" spans="1:3" ht="41" customHeight="1">
      <c r="A31" s="3" t="s">
        <v>31</v>
      </c>
      <c r="B31" s="1"/>
      <c r="C31" s="1">
        <v>83068.95</v>
      </c>
    </row>
    <row r="32" spans="1:3" ht="62" hidden="1">
      <c r="A32" s="3" t="s">
        <v>32</v>
      </c>
      <c r="B32" s="1"/>
      <c r="C32" s="1"/>
    </row>
    <row r="33" spans="1:3" ht="32.5" customHeight="1">
      <c r="A33" s="2" t="s">
        <v>33</v>
      </c>
      <c r="B33" s="2"/>
      <c r="C33" s="2">
        <v>63040.23</v>
      </c>
    </row>
    <row r="34" spans="1:3" ht="31" customHeight="1">
      <c r="A34" s="1" t="s">
        <v>34</v>
      </c>
      <c r="B34" s="1"/>
      <c r="C34" s="1"/>
    </row>
    <row r="35" spans="1:3" ht="33" customHeight="1">
      <c r="A35" s="1" t="s">
        <v>35</v>
      </c>
      <c r="B35" s="1"/>
      <c r="C35" s="1"/>
    </row>
    <row r="36" spans="1:3" ht="33.5" customHeight="1">
      <c r="A36" s="1" t="s">
        <v>64</v>
      </c>
      <c r="B36" s="1"/>
      <c r="C36" s="1"/>
    </row>
    <row r="37" spans="1:3" ht="15.5">
      <c r="A37" s="1" t="s">
        <v>36</v>
      </c>
      <c r="B37" s="1"/>
      <c r="C37" s="1"/>
    </row>
  </sheetData>
  <pageMargins left="0.7" right="0.7" top="0.75" bottom="0.75" header="0.3" footer="0.3"/>
  <pageSetup paperSize="9" orientation="portrait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C37"/>
  <sheetViews>
    <sheetView topLeftCell="A21" workbookViewId="0">
      <selection activeCell="C34" sqref="C34"/>
    </sheetView>
  </sheetViews>
  <sheetFormatPr defaultRowHeight="14.5"/>
  <cols>
    <col min="1" max="1" width="45" customWidth="1"/>
    <col min="2" max="2" width="17" customWidth="1"/>
    <col min="3" max="3" width="17.90625" customWidth="1"/>
  </cols>
  <sheetData>
    <row r="1" spans="1:3" ht="15.5">
      <c r="A1" s="1" t="s">
        <v>0</v>
      </c>
      <c r="B1" s="1"/>
      <c r="C1" s="1"/>
    </row>
    <row r="2" spans="1:3" ht="15.5">
      <c r="A2" s="1" t="s">
        <v>88</v>
      </c>
      <c r="B2" s="1" t="s">
        <v>89</v>
      </c>
      <c r="C2" s="1"/>
    </row>
    <row r="3" spans="1:3" ht="15.5">
      <c r="A3" s="1" t="s">
        <v>3</v>
      </c>
      <c r="B3" s="1"/>
      <c r="C3" s="1"/>
    </row>
    <row r="4" spans="1:3" ht="15.5">
      <c r="A4" s="1" t="s">
        <v>4</v>
      </c>
      <c r="B4" s="1"/>
      <c r="C4" s="1"/>
    </row>
    <row r="5" spans="1:3" ht="15.5">
      <c r="A5" s="1" t="s">
        <v>116</v>
      </c>
      <c r="B5" s="1"/>
      <c r="C5" s="1"/>
    </row>
    <row r="6" spans="1:3" ht="15.5">
      <c r="A6" s="1"/>
      <c r="B6" s="1"/>
      <c r="C6" s="1"/>
    </row>
    <row r="7" spans="1:3" ht="15.5">
      <c r="A7" s="1" t="s">
        <v>5</v>
      </c>
      <c r="B7" s="1" t="s">
        <v>6</v>
      </c>
      <c r="C7" s="1" t="s">
        <v>7</v>
      </c>
    </row>
    <row r="8" spans="1:3" ht="15.5">
      <c r="A8" s="2" t="s">
        <v>8</v>
      </c>
      <c r="B8" s="1"/>
      <c r="C8" s="2">
        <v>-182318.33</v>
      </c>
    </row>
    <row r="9" spans="1:3" ht="46.5">
      <c r="A9" s="3" t="s">
        <v>9</v>
      </c>
      <c r="B9" s="4">
        <f>C9/12</f>
        <v>40159.137500000004</v>
      </c>
      <c r="C9" s="1">
        <v>481909.65</v>
      </c>
    </row>
    <row r="10" spans="1:3" ht="49.5" customHeight="1">
      <c r="A10" s="3" t="s">
        <v>10</v>
      </c>
      <c r="B10" s="4">
        <f t="shared" ref="B10:B28" si="0">C10/12</f>
        <v>2625.4933333333333</v>
      </c>
      <c r="C10" s="1">
        <f>16645.92+14860</f>
        <v>31505.919999999998</v>
      </c>
    </row>
    <row r="11" spans="1:3" ht="15.5">
      <c r="A11" s="2" t="s">
        <v>11</v>
      </c>
      <c r="B11" s="4">
        <f t="shared" si="0"/>
        <v>42784.630833333336</v>
      </c>
      <c r="C11" s="2">
        <f>SUM(C9:C10)</f>
        <v>513415.57</v>
      </c>
    </row>
    <row r="12" spans="1:3" ht="15.5">
      <c r="A12" s="2" t="s">
        <v>12</v>
      </c>
      <c r="B12" s="4">
        <f t="shared" si="0"/>
        <v>0</v>
      </c>
      <c r="C12" s="1"/>
    </row>
    <row r="13" spans="1:3" ht="77.5">
      <c r="A13" s="3" t="s">
        <v>13</v>
      </c>
      <c r="B13" s="4">
        <f t="shared" si="0"/>
        <v>11451.226666666667</v>
      </c>
      <c r="C13" s="1">
        <f>112536.13+24878.59</f>
        <v>137414.72</v>
      </c>
    </row>
    <row r="14" spans="1:3" ht="77.5">
      <c r="A14" s="3" t="s">
        <v>14</v>
      </c>
      <c r="B14" s="4">
        <f t="shared" si="0"/>
        <v>10054.045833333335</v>
      </c>
      <c r="C14" s="1">
        <f>32938.98+87709.57</f>
        <v>120648.55000000002</v>
      </c>
    </row>
    <row r="15" spans="1:3" ht="62">
      <c r="A15" s="3" t="s">
        <v>15</v>
      </c>
      <c r="B15" s="4">
        <f t="shared" si="0"/>
        <v>0</v>
      </c>
      <c r="C15" s="1"/>
    </row>
    <row r="16" spans="1:3" ht="15.5">
      <c r="A16" s="1" t="s">
        <v>16</v>
      </c>
      <c r="B16" s="4">
        <f t="shared" si="0"/>
        <v>2361.25</v>
      </c>
      <c r="C16" s="1">
        <v>28335</v>
      </c>
    </row>
    <row r="17" spans="1:3" ht="15.5">
      <c r="A17" s="1" t="s">
        <v>17</v>
      </c>
      <c r="B17" s="4">
        <f t="shared" si="0"/>
        <v>1632.8500000000001</v>
      </c>
      <c r="C17" s="1">
        <v>19594.2</v>
      </c>
    </row>
    <row r="18" spans="1:3" ht="15.5">
      <c r="A18" s="1" t="s">
        <v>18</v>
      </c>
      <c r="B18" s="4">
        <f t="shared" si="0"/>
        <v>377.67</v>
      </c>
      <c r="C18" s="1">
        <v>4532.04</v>
      </c>
    </row>
    <row r="19" spans="1:3" ht="15.5">
      <c r="A19" s="1" t="s">
        <v>19</v>
      </c>
      <c r="B19" s="4">
        <f t="shared" si="0"/>
        <v>0</v>
      </c>
      <c r="C19" s="1"/>
    </row>
    <row r="20" spans="1:3" ht="15.5">
      <c r="A20" s="1" t="s">
        <v>20</v>
      </c>
      <c r="B20" s="4">
        <f t="shared" si="0"/>
        <v>869.85249999999996</v>
      </c>
      <c r="C20" s="1">
        <v>10438.23</v>
      </c>
    </row>
    <row r="21" spans="1:3" ht="15.5">
      <c r="A21" s="1" t="s">
        <v>21</v>
      </c>
      <c r="B21" s="4">
        <f t="shared" si="0"/>
        <v>935.17833333333328</v>
      </c>
      <c r="C21" s="1">
        <v>11222.14</v>
      </c>
    </row>
    <row r="22" spans="1:3" ht="15.5">
      <c r="A22" s="1" t="s">
        <v>22</v>
      </c>
      <c r="B22" s="4">
        <f t="shared" si="0"/>
        <v>4073.2724999999996</v>
      </c>
      <c r="C22" s="1">
        <v>48879.27</v>
      </c>
    </row>
    <row r="23" spans="1:3" ht="15.5">
      <c r="A23" s="1" t="s">
        <v>23</v>
      </c>
      <c r="B23" s="4">
        <f t="shared" si="0"/>
        <v>679.93583333333333</v>
      </c>
      <c r="C23" s="1">
        <v>8159.23</v>
      </c>
    </row>
    <row r="24" spans="1:3" ht="15.5">
      <c r="A24" s="1" t="s">
        <v>24</v>
      </c>
      <c r="B24" s="4">
        <f t="shared" si="0"/>
        <v>2544.3366666666666</v>
      </c>
      <c r="C24" s="1">
        <v>30532.04</v>
      </c>
    </row>
    <row r="25" spans="1:3" ht="15.5">
      <c r="A25" s="1" t="s">
        <v>25</v>
      </c>
      <c r="B25" s="4">
        <f t="shared" si="0"/>
        <v>227.55999999999997</v>
      </c>
      <c r="C25" s="1">
        <v>2730.72</v>
      </c>
    </row>
    <row r="26" spans="1:3" ht="15.5">
      <c r="A26" s="1" t="s">
        <v>26</v>
      </c>
      <c r="B26" s="4">
        <f t="shared" si="0"/>
        <v>0</v>
      </c>
      <c r="C26" s="1"/>
    </row>
    <row r="27" spans="1:3" ht="15.5">
      <c r="A27" s="1" t="s">
        <v>27</v>
      </c>
      <c r="B27" s="4">
        <f t="shared" si="0"/>
        <v>9262.6075000000001</v>
      </c>
      <c r="C27" s="1">
        <v>111151.29</v>
      </c>
    </row>
    <row r="28" spans="1:3" ht="15.5">
      <c r="A28" s="2" t="s">
        <v>28</v>
      </c>
      <c r="B28" s="4">
        <f t="shared" si="0"/>
        <v>44469.785833333328</v>
      </c>
      <c r="C28" s="2">
        <f>SUM(C13:C27)</f>
        <v>533637.42999999993</v>
      </c>
    </row>
    <row r="29" spans="1:3" ht="25" customHeight="1">
      <c r="A29" s="2" t="s">
        <v>29</v>
      </c>
      <c r="B29" s="1"/>
      <c r="C29" s="2"/>
    </row>
    <row r="30" spans="1:3" ht="31" customHeight="1">
      <c r="A30" s="2" t="s">
        <v>30</v>
      </c>
      <c r="B30" s="1"/>
      <c r="C30" s="2">
        <v>202540.19</v>
      </c>
    </row>
    <row r="31" spans="1:3" ht="30.5" customHeight="1">
      <c r="A31" s="3" t="s">
        <v>31</v>
      </c>
      <c r="B31" s="1"/>
      <c r="C31" s="1">
        <v>436538.63</v>
      </c>
    </row>
    <row r="32" spans="1:3" ht="10.5" hidden="1" customHeight="1">
      <c r="A32" s="3" t="s">
        <v>32</v>
      </c>
      <c r="B32" s="1"/>
      <c r="C32" s="1"/>
    </row>
    <row r="33" spans="1:3" ht="31" customHeight="1">
      <c r="A33" s="2" t="s">
        <v>33</v>
      </c>
      <c r="B33" s="2"/>
      <c r="C33" s="2">
        <v>-639078.81999999995</v>
      </c>
    </row>
    <row r="34" spans="1:3" ht="48" customHeight="1">
      <c r="A34" s="1" t="s">
        <v>34</v>
      </c>
      <c r="B34" s="1"/>
      <c r="C34" s="1"/>
    </row>
    <row r="35" spans="1:3" ht="34.5" customHeight="1">
      <c r="A35" s="1" t="s">
        <v>35</v>
      </c>
      <c r="B35" s="1"/>
      <c r="C35" s="1"/>
    </row>
    <row r="36" spans="1:3" ht="23.5" customHeight="1">
      <c r="A36" s="1" t="s">
        <v>64</v>
      </c>
      <c r="B36" s="1"/>
      <c r="C36" s="1"/>
    </row>
    <row r="37" spans="1:3" ht="18.5" customHeight="1">
      <c r="A37" s="1" t="s">
        <v>36</v>
      </c>
      <c r="B37" s="1"/>
      <c r="C37" s="1"/>
    </row>
  </sheetData>
  <pageMargins left="0.7" right="0.7" top="0.75" bottom="0.75" header="0.3" footer="0.3"/>
  <pageSetup paperSize="9" orientation="portrait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C37"/>
  <sheetViews>
    <sheetView topLeftCell="A19" workbookViewId="0">
      <selection activeCell="C34" sqref="C34"/>
    </sheetView>
  </sheetViews>
  <sheetFormatPr defaultRowHeight="14.5"/>
  <cols>
    <col min="1" max="1" width="45.26953125" customWidth="1"/>
    <col min="2" max="2" width="17.36328125" customWidth="1"/>
    <col min="3" max="3" width="17.54296875" customWidth="1"/>
  </cols>
  <sheetData>
    <row r="1" spans="1:3" ht="15.5">
      <c r="A1" s="1" t="s">
        <v>0</v>
      </c>
      <c r="B1" s="1"/>
      <c r="C1" s="1"/>
    </row>
    <row r="2" spans="1:3" ht="15.5">
      <c r="A2" s="1" t="s">
        <v>90</v>
      </c>
      <c r="B2" s="1" t="s">
        <v>89</v>
      </c>
      <c r="C2" s="1"/>
    </row>
    <row r="3" spans="1:3" ht="15.5">
      <c r="A3" s="1" t="s">
        <v>3</v>
      </c>
      <c r="B3" s="1"/>
      <c r="C3" s="1"/>
    </row>
    <row r="4" spans="1:3" ht="15.5">
      <c r="A4" s="1" t="s">
        <v>4</v>
      </c>
      <c r="B4" s="1"/>
      <c r="C4" s="1"/>
    </row>
    <row r="5" spans="1:3" ht="15.5">
      <c r="A5" s="1" t="s">
        <v>116</v>
      </c>
      <c r="B5" s="1"/>
      <c r="C5" s="1"/>
    </row>
    <row r="6" spans="1:3" ht="15.5">
      <c r="A6" s="1"/>
      <c r="B6" s="1"/>
      <c r="C6" s="1"/>
    </row>
    <row r="7" spans="1:3" ht="15.5">
      <c r="A7" s="1" t="s">
        <v>5</v>
      </c>
      <c r="B7" s="1" t="s">
        <v>6</v>
      </c>
      <c r="C7" s="1" t="s">
        <v>7</v>
      </c>
    </row>
    <row r="8" spans="1:3" ht="15.5">
      <c r="A8" s="2" t="s">
        <v>8</v>
      </c>
      <c r="B8" s="1"/>
      <c r="C8" s="2">
        <v>53714.68</v>
      </c>
    </row>
    <row r="9" spans="1:3" ht="46.5">
      <c r="A9" s="3" t="s">
        <v>9</v>
      </c>
      <c r="B9" s="4">
        <f>C9/12</f>
        <v>48605.236666666664</v>
      </c>
      <c r="C9" s="1">
        <v>583262.84</v>
      </c>
    </row>
    <row r="10" spans="1:3" ht="46.5">
      <c r="A10" s="3" t="s">
        <v>10</v>
      </c>
      <c r="B10" s="4">
        <f t="shared" ref="B10:B28" si="0">C10/12</f>
        <v>1348.2333333333333</v>
      </c>
      <c r="C10" s="1">
        <v>16178.8</v>
      </c>
    </row>
    <row r="11" spans="1:3" ht="15.5">
      <c r="A11" s="2" t="s">
        <v>11</v>
      </c>
      <c r="B11" s="4">
        <f t="shared" si="0"/>
        <v>49953.47</v>
      </c>
      <c r="C11" s="2">
        <f>SUM(C9:C10)</f>
        <v>599441.64</v>
      </c>
    </row>
    <row r="12" spans="1:3" ht="15.5">
      <c r="A12" s="2" t="s">
        <v>12</v>
      </c>
      <c r="B12" s="4">
        <f t="shared" si="0"/>
        <v>0</v>
      </c>
      <c r="C12" s="1"/>
    </row>
    <row r="13" spans="1:3" ht="77.5">
      <c r="A13" s="3" t="s">
        <v>13</v>
      </c>
      <c r="B13" s="4">
        <f t="shared" si="0"/>
        <v>11763.406666666668</v>
      </c>
      <c r="C13" s="1">
        <f>115588.74+25572.14</f>
        <v>141160.88</v>
      </c>
    </row>
    <row r="14" spans="1:3" ht="77.5">
      <c r="A14" s="3" t="s">
        <v>14</v>
      </c>
      <c r="B14" s="4">
        <f t="shared" si="0"/>
        <v>8431.56</v>
      </c>
      <c r="C14" s="1">
        <f>27267.24+73911.48</f>
        <v>101178.72</v>
      </c>
    </row>
    <row r="15" spans="1:3" ht="62">
      <c r="A15" s="3" t="s">
        <v>15</v>
      </c>
      <c r="B15" s="4">
        <f t="shared" si="0"/>
        <v>0</v>
      </c>
      <c r="C15" s="1"/>
    </row>
    <row r="16" spans="1:3" ht="15.5">
      <c r="A16" s="1" t="s">
        <v>16</v>
      </c>
      <c r="B16" s="4">
        <f t="shared" si="0"/>
        <v>2526.4166666666665</v>
      </c>
      <c r="C16" s="1">
        <v>30317</v>
      </c>
    </row>
    <row r="17" spans="1:3" ht="15.5">
      <c r="A17" s="1" t="s">
        <v>17</v>
      </c>
      <c r="B17" s="4">
        <f t="shared" si="0"/>
        <v>1662.9099999999999</v>
      </c>
      <c r="C17" s="1">
        <v>19954.919999999998</v>
      </c>
    </row>
    <row r="18" spans="1:3" ht="15.5">
      <c r="A18" s="1" t="s">
        <v>18</v>
      </c>
      <c r="B18" s="4">
        <f t="shared" si="0"/>
        <v>486.54333333333335</v>
      </c>
      <c r="C18" s="1">
        <v>5838.52</v>
      </c>
    </row>
    <row r="19" spans="1:3" ht="15.5">
      <c r="A19" s="1" t="s">
        <v>19</v>
      </c>
      <c r="B19" s="4">
        <f t="shared" si="0"/>
        <v>0</v>
      </c>
      <c r="C19" s="1"/>
    </row>
    <row r="20" spans="1:3" ht="15.5">
      <c r="A20" s="1" t="s">
        <v>20</v>
      </c>
      <c r="B20" s="4">
        <f t="shared" si="0"/>
        <v>952.13583333333327</v>
      </c>
      <c r="C20" s="1">
        <v>11425.63</v>
      </c>
    </row>
    <row r="21" spans="1:3" ht="15.5">
      <c r="A21" s="1" t="s">
        <v>21</v>
      </c>
      <c r="B21" s="4">
        <f t="shared" si="0"/>
        <v>1090.6591666666666</v>
      </c>
      <c r="C21" s="1">
        <v>13087.91</v>
      </c>
    </row>
    <row r="22" spans="1:3" ht="15.5">
      <c r="A22" s="1" t="s">
        <v>22</v>
      </c>
      <c r="B22" s="4">
        <f t="shared" si="0"/>
        <v>4146.82</v>
      </c>
      <c r="C22" s="1">
        <v>49761.84</v>
      </c>
    </row>
    <row r="23" spans="1:3" ht="15.5">
      <c r="A23" s="1" t="s">
        <v>23</v>
      </c>
      <c r="B23" s="4">
        <f t="shared" si="0"/>
        <v>487.5916666666667</v>
      </c>
      <c r="C23" s="1">
        <v>5851.1</v>
      </c>
    </row>
    <row r="24" spans="1:3" ht="15.5">
      <c r="A24" s="1" t="s">
        <v>24</v>
      </c>
      <c r="B24" s="4">
        <f t="shared" si="0"/>
        <v>2970.6566666666663</v>
      </c>
      <c r="C24" s="1">
        <v>35647.879999999997</v>
      </c>
    </row>
    <row r="25" spans="1:3" ht="15.5">
      <c r="A25" s="1" t="s">
        <v>25</v>
      </c>
      <c r="B25" s="4">
        <f t="shared" si="0"/>
        <v>246.3125</v>
      </c>
      <c r="C25" s="1">
        <v>2955.75</v>
      </c>
    </row>
    <row r="26" spans="1:3" ht="15.5">
      <c r="A26" s="1" t="s">
        <v>26</v>
      </c>
      <c r="B26" s="4">
        <f t="shared" si="0"/>
        <v>0</v>
      </c>
      <c r="C26" s="1"/>
    </row>
    <row r="27" spans="1:3" ht="15.5">
      <c r="A27" s="1" t="s">
        <v>27</v>
      </c>
      <c r="B27" s="4">
        <f t="shared" si="0"/>
        <v>9429.8549999999996</v>
      </c>
      <c r="C27" s="1">
        <v>113158.26</v>
      </c>
    </row>
    <row r="28" spans="1:3" ht="15.5">
      <c r="A28" s="2" t="s">
        <v>28</v>
      </c>
      <c r="B28" s="4">
        <f t="shared" si="0"/>
        <v>44194.867499999993</v>
      </c>
      <c r="C28" s="2">
        <f>SUM(C13:C27)</f>
        <v>530338.40999999992</v>
      </c>
    </row>
    <row r="29" spans="1:3" ht="28" customHeight="1">
      <c r="A29" s="2" t="s">
        <v>29</v>
      </c>
      <c r="B29" s="1"/>
      <c r="C29" s="2">
        <v>122817.91</v>
      </c>
    </row>
    <row r="30" spans="1:3" ht="28" customHeight="1">
      <c r="A30" s="2" t="s">
        <v>30</v>
      </c>
      <c r="B30" s="1"/>
      <c r="C30" s="2"/>
    </row>
    <row r="31" spans="1:3" ht="31">
      <c r="A31" s="3" t="s">
        <v>31</v>
      </c>
      <c r="B31" s="1"/>
      <c r="C31" s="1">
        <v>27361.96</v>
      </c>
    </row>
    <row r="32" spans="1:3" ht="0.5" customHeight="1">
      <c r="A32" s="3" t="s">
        <v>32</v>
      </c>
      <c r="B32" s="1"/>
      <c r="C32" s="1"/>
    </row>
    <row r="33" spans="1:3" ht="15.5">
      <c r="A33" s="2" t="s">
        <v>33</v>
      </c>
      <c r="B33" s="2"/>
      <c r="C33" s="2">
        <v>95455.95</v>
      </c>
    </row>
    <row r="34" spans="1:3" ht="40.5" customHeight="1">
      <c r="A34" s="1" t="s">
        <v>34</v>
      </c>
      <c r="B34" s="1"/>
      <c r="C34" s="1"/>
    </row>
    <row r="35" spans="1:3" ht="33.5" customHeight="1">
      <c r="A35" s="1" t="s">
        <v>35</v>
      </c>
      <c r="B35" s="1"/>
      <c r="C35" s="1"/>
    </row>
    <row r="36" spans="1:3" ht="26" customHeight="1">
      <c r="A36" s="1" t="s">
        <v>64</v>
      </c>
      <c r="B36" s="1"/>
      <c r="C36" s="1"/>
    </row>
    <row r="37" spans="1:3" ht="29" customHeight="1">
      <c r="A37" s="1" t="s">
        <v>36</v>
      </c>
      <c r="B37" s="1"/>
      <c r="C37" s="1"/>
    </row>
  </sheetData>
  <pageMargins left="0.7" right="0.7" top="0.75" bottom="0.75" header="0.3" footer="0.3"/>
  <pageSetup paperSize="9" orientation="portrait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C37"/>
  <sheetViews>
    <sheetView topLeftCell="A19" workbookViewId="0">
      <selection activeCell="C34" sqref="C34"/>
    </sheetView>
  </sheetViews>
  <sheetFormatPr defaultRowHeight="14.5"/>
  <cols>
    <col min="1" max="1" width="43.6328125" customWidth="1"/>
    <col min="2" max="2" width="17.6328125" customWidth="1"/>
    <col min="3" max="3" width="14.81640625" customWidth="1"/>
  </cols>
  <sheetData>
    <row r="1" spans="1:3" ht="15.5">
      <c r="A1" s="1" t="s">
        <v>0</v>
      </c>
      <c r="B1" s="1"/>
      <c r="C1" s="1"/>
    </row>
    <row r="2" spans="1:3" ht="15.5">
      <c r="A2" s="1" t="s">
        <v>91</v>
      </c>
      <c r="B2" s="1" t="s">
        <v>89</v>
      </c>
      <c r="C2" s="1"/>
    </row>
    <row r="3" spans="1:3" ht="15.5">
      <c r="A3" s="1" t="s">
        <v>3</v>
      </c>
      <c r="B3" s="1"/>
      <c r="C3" s="1"/>
    </row>
    <row r="4" spans="1:3" ht="15.5">
      <c r="A4" s="1" t="s">
        <v>4</v>
      </c>
      <c r="B4" s="1"/>
      <c r="C4" s="1"/>
    </row>
    <row r="5" spans="1:3" ht="15.5">
      <c r="A5" s="1" t="s">
        <v>116</v>
      </c>
      <c r="B5" s="1"/>
      <c r="C5" s="1"/>
    </row>
    <row r="6" spans="1:3" ht="15.5">
      <c r="A6" s="1"/>
      <c r="B6" s="1"/>
      <c r="C6" s="1"/>
    </row>
    <row r="7" spans="1:3" ht="15.5">
      <c r="A7" s="1" t="s">
        <v>5</v>
      </c>
      <c r="B7" s="1" t="s">
        <v>6</v>
      </c>
      <c r="C7" s="1" t="s">
        <v>7</v>
      </c>
    </row>
    <row r="8" spans="1:3" ht="15.5">
      <c r="A8" s="2" t="s">
        <v>8</v>
      </c>
      <c r="B8" s="1"/>
      <c r="C8" s="2">
        <v>-92212.36</v>
      </c>
    </row>
    <row r="9" spans="1:3" ht="46.5">
      <c r="A9" s="3" t="s">
        <v>9</v>
      </c>
      <c r="B9" s="4">
        <f>C9/12</f>
        <v>43745.951666666668</v>
      </c>
      <c r="C9" s="1">
        <v>524951.42000000004</v>
      </c>
    </row>
    <row r="10" spans="1:3" ht="46.5">
      <c r="A10" s="3" t="s">
        <v>10</v>
      </c>
      <c r="B10" s="4">
        <f t="shared" ref="B10:B28" si="0">C10/12</f>
        <v>2495.3358333333331</v>
      </c>
      <c r="C10" s="1">
        <f>15584.03+14360</f>
        <v>29944.03</v>
      </c>
    </row>
    <row r="11" spans="1:3" ht="15.5">
      <c r="A11" s="2" t="s">
        <v>11</v>
      </c>
      <c r="B11" s="4">
        <f t="shared" si="0"/>
        <v>46241.287500000006</v>
      </c>
      <c r="C11" s="2">
        <f>SUM(C9:C10)</f>
        <v>554895.45000000007</v>
      </c>
    </row>
    <row r="12" spans="1:3" ht="15.5">
      <c r="A12" s="2" t="s">
        <v>12</v>
      </c>
      <c r="B12" s="4">
        <f t="shared" si="0"/>
        <v>0</v>
      </c>
      <c r="C12" s="1"/>
    </row>
    <row r="13" spans="1:3" ht="77.5">
      <c r="A13" s="3" t="s">
        <v>13</v>
      </c>
      <c r="B13" s="4">
        <f t="shared" si="0"/>
        <v>11926.07</v>
      </c>
      <c r="C13" s="1">
        <f>117187.14+25925.7</f>
        <v>143112.84</v>
      </c>
    </row>
    <row r="14" spans="1:3" ht="77.5">
      <c r="A14" s="3" t="s">
        <v>14</v>
      </c>
      <c r="B14" s="4">
        <f t="shared" si="0"/>
        <v>10919.606666666667</v>
      </c>
      <c r="C14" s="1">
        <f>36710.44+94324.84</f>
        <v>131035.28</v>
      </c>
    </row>
    <row r="15" spans="1:3" ht="62">
      <c r="A15" s="3" t="s">
        <v>15</v>
      </c>
      <c r="B15" s="4">
        <f t="shared" si="0"/>
        <v>0</v>
      </c>
      <c r="C15" s="1"/>
    </row>
    <row r="16" spans="1:3" ht="15.5">
      <c r="A16" s="1" t="s">
        <v>16</v>
      </c>
      <c r="B16" s="4">
        <f t="shared" si="0"/>
        <v>4108.75</v>
      </c>
      <c r="C16" s="1">
        <v>49305</v>
      </c>
    </row>
    <row r="17" spans="1:3" ht="15.5">
      <c r="A17" s="1" t="s">
        <v>17</v>
      </c>
      <c r="B17" s="4">
        <f t="shared" si="0"/>
        <v>1645.4399999999998</v>
      </c>
      <c r="C17" s="1">
        <v>19745.28</v>
      </c>
    </row>
    <row r="18" spans="1:3" ht="15.5">
      <c r="A18" s="1" t="s">
        <v>18</v>
      </c>
      <c r="B18" s="4">
        <f t="shared" si="0"/>
        <v>0</v>
      </c>
      <c r="C18" s="1"/>
    </row>
    <row r="19" spans="1:3" ht="15.5">
      <c r="A19" s="1" t="s">
        <v>19</v>
      </c>
      <c r="B19" s="4">
        <f t="shared" si="0"/>
        <v>0</v>
      </c>
      <c r="C19" s="1"/>
    </row>
    <row r="20" spans="1:3" ht="15.5">
      <c r="A20" s="1" t="s">
        <v>20</v>
      </c>
      <c r="B20" s="4">
        <f t="shared" si="0"/>
        <v>881.60750000000007</v>
      </c>
      <c r="C20" s="1">
        <v>10579.29</v>
      </c>
    </row>
    <row r="21" spans="1:3" ht="15.5">
      <c r="A21" s="1" t="s">
        <v>21</v>
      </c>
      <c r="B21" s="4">
        <f t="shared" si="0"/>
        <v>1008.3633333333333</v>
      </c>
      <c r="C21" s="1">
        <v>12100.36</v>
      </c>
    </row>
    <row r="22" spans="1:3" ht="15.5">
      <c r="A22" s="1" t="s">
        <v>22</v>
      </c>
      <c r="B22" s="4">
        <f t="shared" si="0"/>
        <v>4104.5333333333338</v>
      </c>
      <c r="C22" s="1">
        <v>49254.400000000001</v>
      </c>
    </row>
    <row r="23" spans="1:3" ht="15.5">
      <c r="A23" s="1" t="s">
        <v>23</v>
      </c>
      <c r="B23" s="4">
        <f t="shared" si="0"/>
        <v>456.6658333333333</v>
      </c>
      <c r="C23" s="1">
        <v>5479.99</v>
      </c>
    </row>
    <row r="24" spans="1:3" ht="15.5">
      <c r="A24" s="1" t="s">
        <v>24</v>
      </c>
      <c r="B24" s="4">
        <f t="shared" si="0"/>
        <v>2749.8991666666666</v>
      </c>
      <c r="C24" s="1">
        <v>32998.79</v>
      </c>
    </row>
    <row r="25" spans="1:3" ht="15.5">
      <c r="A25" s="1" t="s">
        <v>25</v>
      </c>
      <c r="B25" s="4">
        <f t="shared" si="0"/>
        <v>246.52333333333334</v>
      </c>
      <c r="C25" s="1">
        <v>2958.28</v>
      </c>
    </row>
    <row r="26" spans="1:3" ht="15.5">
      <c r="A26" s="1" t="s">
        <v>26</v>
      </c>
      <c r="B26" s="4">
        <f t="shared" si="0"/>
        <v>0</v>
      </c>
      <c r="C26" s="1"/>
    </row>
    <row r="27" spans="1:3" ht="15.5">
      <c r="A27" s="1" t="s">
        <v>27</v>
      </c>
      <c r="B27" s="4">
        <f t="shared" si="0"/>
        <v>9333.6949999999997</v>
      </c>
      <c r="C27" s="1">
        <v>112004.34</v>
      </c>
    </row>
    <row r="28" spans="1:3" ht="15.5">
      <c r="A28" s="2" t="s">
        <v>28</v>
      </c>
      <c r="B28" s="4">
        <f t="shared" si="0"/>
        <v>47381.154166666667</v>
      </c>
      <c r="C28" s="2">
        <f>SUM(C13:C27)</f>
        <v>568573.85</v>
      </c>
    </row>
    <row r="29" spans="1:3" ht="24.5" customHeight="1">
      <c r="A29" s="2" t="s">
        <v>29</v>
      </c>
      <c r="B29" s="1"/>
      <c r="C29" s="2"/>
    </row>
    <row r="30" spans="1:3" ht="28.5" customHeight="1">
      <c r="A30" s="2" t="s">
        <v>30</v>
      </c>
      <c r="B30" s="1"/>
      <c r="C30" s="2">
        <v>105890.76</v>
      </c>
    </row>
    <row r="31" spans="1:3" ht="30.5" customHeight="1">
      <c r="A31" s="3" t="s">
        <v>31</v>
      </c>
      <c r="B31" s="1"/>
      <c r="C31" s="1">
        <v>287216.18</v>
      </c>
    </row>
    <row r="32" spans="1:3" ht="62" hidden="1">
      <c r="A32" s="3" t="s">
        <v>32</v>
      </c>
      <c r="B32" s="1"/>
      <c r="C32" s="1"/>
    </row>
    <row r="33" spans="1:3" ht="29" customHeight="1">
      <c r="A33" s="2" t="s">
        <v>33</v>
      </c>
      <c r="B33" s="2"/>
      <c r="C33" s="2">
        <v>-393106.94</v>
      </c>
    </row>
    <row r="34" spans="1:3" ht="31" customHeight="1">
      <c r="A34" s="1" t="s">
        <v>34</v>
      </c>
      <c r="B34" s="1"/>
      <c r="C34" s="1"/>
    </row>
    <row r="35" spans="1:3" ht="33" customHeight="1">
      <c r="A35" s="1" t="s">
        <v>35</v>
      </c>
      <c r="B35" s="1"/>
      <c r="C35" s="1"/>
    </row>
    <row r="36" spans="1:3" ht="19" customHeight="1">
      <c r="A36" s="1" t="s">
        <v>64</v>
      </c>
      <c r="B36" s="1"/>
      <c r="C36" s="1"/>
    </row>
    <row r="37" spans="1:3" ht="15.5">
      <c r="A37" s="1" t="s">
        <v>36</v>
      </c>
      <c r="B37" s="1"/>
      <c r="C37" s="1"/>
    </row>
  </sheetData>
  <pageMargins left="0.7" right="0.7" top="0.75" bottom="0.75" header="0.3" footer="0.3"/>
  <pageSetup paperSize="9" orientation="portrait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C37"/>
  <sheetViews>
    <sheetView topLeftCell="A17" workbookViewId="0">
      <selection activeCell="C34" sqref="C34"/>
    </sheetView>
  </sheetViews>
  <sheetFormatPr defaultRowHeight="14.5"/>
  <cols>
    <col min="1" max="1" width="43.6328125" customWidth="1"/>
    <col min="2" max="2" width="17.26953125" customWidth="1"/>
    <col min="3" max="3" width="14.7265625" customWidth="1"/>
  </cols>
  <sheetData>
    <row r="1" spans="1:3" ht="15.5">
      <c r="A1" s="1" t="s">
        <v>0</v>
      </c>
      <c r="B1" s="1"/>
      <c r="C1" s="1"/>
    </row>
    <row r="2" spans="1:3" ht="15.5">
      <c r="A2" s="1" t="s">
        <v>92</v>
      </c>
      <c r="B2" s="1" t="s">
        <v>89</v>
      </c>
      <c r="C2" s="1"/>
    </row>
    <row r="3" spans="1:3" ht="15.5">
      <c r="A3" s="1" t="s">
        <v>3</v>
      </c>
      <c r="B3" s="1"/>
      <c r="C3" s="1"/>
    </row>
    <row r="4" spans="1:3" ht="15.5">
      <c r="A4" s="1" t="s">
        <v>4</v>
      </c>
      <c r="B4" s="1"/>
      <c r="C4" s="1"/>
    </row>
    <row r="5" spans="1:3" ht="15.5">
      <c r="A5" s="1" t="s">
        <v>116</v>
      </c>
      <c r="B5" s="1"/>
      <c r="C5" s="1"/>
    </row>
    <row r="6" spans="1:3" ht="15.5">
      <c r="A6" s="1"/>
      <c r="B6" s="1"/>
      <c r="C6" s="1"/>
    </row>
    <row r="7" spans="1:3" ht="15.5">
      <c r="A7" s="1" t="s">
        <v>5</v>
      </c>
      <c r="B7" s="1" t="s">
        <v>6</v>
      </c>
      <c r="C7" s="1" t="s">
        <v>7</v>
      </c>
    </row>
    <row r="8" spans="1:3" ht="15.5">
      <c r="A8" s="2" t="s">
        <v>8</v>
      </c>
      <c r="B8" s="1"/>
      <c r="C8" s="2">
        <v>342540.35</v>
      </c>
    </row>
    <row r="9" spans="1:3" ht="46.5">
      <c r="A9" s="3" t="s">
        <v>9</v>
      </c>
      <c r="B9" s="5">
        <f>C9/12</f>
        <v>134233.70333333334</v>
      </c>
      <c r="C9" s="1">
        <v>1610804.44</v>
      </c>
    </row>
    <row r="10" spans="1:3" ht="46.5">
      <c r="A10" s="3" t="s">
        <v>10</v>
      </c>
      <c r="B10" s="5">
        <f t="shared" ref="B10:B28" si="0">C10/12</f>
        <v>4482.5591666666669</v>
      </c>
      <c r="C10" s="1">
        <v>53790.71</v>
      </c>
    </row>
    <row r="11" spans="1:3" ht="15.5">
      <c r="A11" s="2" t="s">
        <v>11</v>
      </c>
      <c r="B11" s="5">
        <f t="shared" si="0"/>
        <v>138716.26249999998</v>
      </c>
      <c r="C11" s="2">
        <f>SUM(C9:C10)</f>
        <v>1664595.15</v>
      </c>
    </row>
    <row r="12" spans="1:3" ht="15.5">
      <c r="A12" s="2" t="s">
        <v>12</v>
      </c>
      <c r="B12" s="5">
        <f t="shared" si="0"/>
        <v>0</v>
      </c>
      <c r="C12" s="1"/>
    </row>
    <row r="13" spans="1:3" ht="77.5">
      <c r="A13" s="3" t="s">
        <v>13</v>
      </c>
      <c r="B13" s="5">
        <f t="shared" si="0"/>
        <v>29374.720000000001</v>
      </c>
      <c r="C13" s="1">
        <f>288639.78+63856.86</f>
        <v>352496.64000000001</v>
      </c>
    </row>
    <row r="14" spans="1:3" ht="77.5">
      <c r="A14" s="3" t="s">
        <v>14</v>
      </c>
      <c r="B14" s="5">
        <f t="shared" si="0"/>
        <v>14016.74</v>
      </c>
      <c r="C14" s="1">
        <f>101242.88+66958</f>
        <v>168200.88</v>
      </c>
    </row>
    <row r="15" spans="1:3" ht="62">
      <c r="A15" s="3" t="s">
        <v>15</v>
      </c>
      <c r="B15" s="5">
        <f t="shared" si="0"/>
        <v>12198.96</v>
      </c>
      <c r="C15" s="1">
        <v>146387.51999999999</v>
      </c>
    </row>
    <row r="16" spans="1:3" ht="15.5">
      <c r="A16" s="1" t="s">
        <v>16</v>
      </c>
      <c r="B16" s="5">
        <f t="shared" si="0"/>
        <v>2454.5</v>
      </c>
      <c r="C16" s="1">
        <v>29454</v>
      </c>
    </row>
    <row r="17" spans="1:3" ht="15.5">
      <c r="A17" s="1" t="s">
        <v>17</v>
      </c>
      <c r="B17" s="5">
        <f t="shared" si="0"/>
        <v>4003.27</v>
      </c>
      <c r="C17" s="1">
        <v>48039.24</v>
      </c>
    </row>
    <row r="18" spans="1:3" ht="15.5">
      <c r="A18" s="1" t="s">
        <v>18</v>
      </c>
      <c r="B18" s="5">
        <f t="shared" si="0"/>
        <v>258.79000000000002</v>
      </c>
      <c r="C18" s="1">
        <v>3105.48</v>
      </c>
    </row>
    <row r="19" spans="1:3" ht="15.5">
      <c r="A19" s="1" t="s">
        <v>19</v>
      </c>
      <c r="B19" s="5">
        <f t="shared" si="0"/>
        <v>18304.78</v>
      </c>
      <c r="C19" s="1">
        <v>219657.36</v>
      </c>
    </row>
    <row r="20" spans="1:3" ht="15.5">
      <c r="A20" s="1" t="s">
        <v>20</v>
      </c>
      <c r="B20" s="5">
        <f t="shared" si="0"/>
        <v>1692.6858333333332</v>
      </c>
      <c r="C20" s="1">
        <v>20312.23</v>
      </c>
    </row>
    <row r="21" spans="1:3" ht="15.5">
      <c r="A21" s="1" t="s">
        <v>21</v>
      </c>
      <c r="B21" s="5">
        <f t="shared" si="0"/>
        <v>3209.9533333333334</v>
      </c>
      <c r="C21" s="1">
        <v>38519.440000000002</v>
      </c>
    </row>
    <row r="22" spans="1:3" ht="15.5">
      <c r="A22" s="1" t="s">
        <v>22</v>
      </c>
      <c r="B22" s="5">
        <f t="shared" si="0"/>
        <v>9990.8158333333322</v>
      </c>
      <c r="C22" s="1">
        <v>119889.79</v>
      </c>
    </row>
    <row r="23" spans="1:3" ht="15.5">
      <c r="A23" s="1" t="s">
        <v>23</v>
      </c>
      <c r="B23" s="5">
        <f t="shared" si="0"/>
        <v>0</v>
      </c>
      <c r="C23" s="1"/>
    </row>
    <row r="24" spans="1:3" ht="15.5">
      <c r="A24" s="1" t="s">
        <v>24</v>
      </c>
      <c r="B24" s="5">
        <f t="shared" si="0"/>
        <v>8736.4816666666666</v>
      </c>
      <c r="C24" s="1">
        <v>104837.78</v>
      </c>
    </row>
    <row r="25" spans="1:3" ht="15.5">
      <c r="A25" s="1" t="s">
        <v>25</v>
      </c>
      <c r="B25" s="5">
        <f t="shared" si="0"/>
        <v>306.70499999999998</v>
      </c>
      <c r="C25" s="1">
        <v>3680.46</v>
      </c>
    </row>
    <row r="26" spans="1:3" ht="15.5">
      <c r="A26" s="1" t="s">
        <v>26</v>
      </c>
      <c r="B26" s="5">
        <f t="shared" si="0"/>
        <v>0</v>
      </c>
      <c r="C26" s="1"/>
    </row>
    <row r="27" spans="1:3" ht="15.5">
      <c r="A27" s="1" t="s">
        <v>27</v>
      </c>
      <c r="B27" s="5">
        <f t="shared" si="0"/>
        <v>26052.414166666666</v>
      </c>
      <c r="C27" s="1">
        <v>312628.96999999997</v>
      </c>
    </row>
    <row r="28" spans="1:3" ht="15.5">
      <c r="A28" s="2" t="s">
        <v>28</v>
      </c>
      <c r="B28" s="5">
        <f t="shared" si="0"/>
        <v>130600.81583333334</v>
      </c>
      <c r="C28" s="2">
        <f>SUM(C13:C27)</f>
        <v>1567209.79</v>
      </c>
    </row>
    <row r="29" spans="1:3" ht="25" customHeight="1">
      <c r="A29" s="2" t="s">
        <v>29</v>
      </c>
      <c r="B29" s="1"/>
      <c r="C29" s="2">
        <v>439925.71</v>
      </c>
    </row>
    <row r="30" spans="1:3" ht="26" customHeight="1">
      <c r="A30" s="2" t="s">
        <v>30</v>
      </c>
      <c r="B30" s="1"/>
      <c r="C30" s="2"/>
    </row>
    <row r="31" spans="1:3" ht="29.5" customHeight="1">
      <c r="A31" s="3" t="s">
        <v>31</v>
      </c>
      <c r="B31" s="1"/>
      <c r="C31" s="1">
        <v>409392.03</v>
      </c>
    </row>
    <row r="32" spans="1:3" ht="13.5" hidden="1" customHeight="1">
      <c r="A32" s="3" t="s">
        <v>32</v>
      </c>
      <c r="B32" s="1"/>
      <c r="C32" s="1"/>
    </row>
    <row r="33" spans="1:3" ht="43.5" customHeight="1">
      <c r="A33" s="2" t="s">
        <v>33</v>
      </c>
      <c r="B33" s="2"/>
      <c r="C33" s="2">
        <v>30533.68</v>
      </c>
    </row>
    <row r="34" spans="1:3" ht="37.5" customHeight="1">
      <c r="A34" s="1" t="s">
        <v>34</v>
      </c>
      <c r="B34" s="1"/>
      <c r="C34" s="1"/>
    </row>
    <row r="35" spans="1:3" ht="38.5" customHeight="1">
      <c r="A35" s="1" t="s">
        <v>35</v>
      </c>
      <c r="B35" s="1"/>
      <c r="C35" s="1"/>
    </row>
    <row r="36" spans="1:3" ht="36" customHeight="1">
      <c r="A36" s="1" t="s">
        <v>64</v>
      </c>
      <c r="B36" s="1"/>
      <c r="C36" s="1"/>
    </row>
    <row r="37" spans="1:3" ht="15.5">
      <c r="A37" s="1" t="s">
        <v>36</v>
      </c>
      <c r="B37" s="1"/>
      <c r="C37" s="1"/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7"/>
  <sheetViews>
    <sheetView workbookViewId="0">
      <selection activeCell="C34" sqref="C34"/>
    </sheetView>
  </sheetViews>
  <sheetFormatPr defaultRowHeight="14.5"/>
  <cols>
    <col min="1" max="1" width="41.08984375" customWidth="1"/>
    <col min="2" max="2" width="15.26953125" customWidth="1"/>
    <col min="3" max="3" width="15.54296875" customWidth="1"/>
  </cols>
  <sheetData>
    <row r="1" spans="1:3" ht="15.5">
      <c r="A1" s="1" t="s">
        <v>0</v>
      </c>
      <c r="B1" s="1"/>
      <c r="C1" s="1"/>
    </row>
    <row r="2" spans="1:3" ht="15.5">
      <c r="A2" s="1" t="s">
        <v>42</v>
      </c>
      <c r="B2" s="1" t="s">
        <v>2</v>
      </c>
      <c r="C2" s="1"/>
    </row>
    <row r="3" spans="1:3" ht="15.5">
      <c r="A3" s="1" t="s">
        <v>3</v>
      </c>
      <c r="B3" s="1"/>
      <c r="C3" s="1"/>
    </row>
    <row r="4" spans="1:3" ht="15.5">
      <c r="A4" s="1" t="s">
        <v>4</v>
      </c>
      <c r="B4" s="1"/>
      <c r="C4" s="1"/>
    </row>
    <row r="5" spans="1:3" ht="15.5">
      <c r="A5" s="1" t="s">
        <v>116</v>
      </c>
      <c r="B5" s="1"/>
      <c r="C5" s="1"/>
    </row>
    <row r="6" spans="1:3" ht="15.5">
      <c r="A6" s="1"/>
      <c r="B6" s="1"/>
      <c r="C6" s="1"/>
    </row>
    <row r="7" spans="1:3" ht="15.5">
      <c r="A7" s="1" t="s">
        <v>5</v>
      </c>
      <c r="B7" s="1" t="s">
        <v>6</v>
      </c>
      <c r="C7" s="1" t="s">
        <v>7</v>
      </c>
    </row>
    <row r="8" spans="1:3" ht="15.5">
      <c r="A8" s="2" t="s">
        <v>8</v>
      </c>
      <c r="B8" s="1"/>
      <c r="C8" s="2">
        <v>88180.84</v>
      </c>
    </row>
    <row r="9" spans="1:3" ht="47.5" customHeight="1">
      <c r="A9" s="3" t="s">
        <v>9</v>
      </c>
      <c r="B9" s="4">
        <f>C9/12</f>
        <v>46944.986666666664</v>
      </c>
      <c r="C9" s="1">
        <v>563339.84</v>
      </c>
    </row>
    <row r="10" spans="1:3" ht="52.5" customHeight="1">
      <c r="A10" s="3" t="s">
        <v>10</v>
      </c>
      <c r="B10" s="4">
        <f t="shared" ref="B10:B28" si="0">C10/12</f>
        <v>2026.1499999999999</v>
      </c>
      <c r="C10" s="1">
        <v>24313.8</v>
      </c>
    </row>
    <row r="11" spans="1:3" ht="15.5">
      <c r="A11" s="2" t="s">
        <v>11</v>
      </c>
      <c r="B11" s="4">
        <f t="shared" si="0"/>
        <v>48971.136666666665</v>
      </c>
      <c r="C11" s="2">
        <f>SUM(C9:C10)</f>
        <v>587653.64</v>
      </c>
    </row>
    <row r="12" spans="1:3" ht="15.5">
      <c r="A12" s="2" t="s">
        <v>12</v>
      </c>
      <c r="B12" s="4">
        <f t="shared" si="0"/>
        <v>0</v>
      </c>
      <c r="C12" s="1"/>
    </row>
    <row r="13" spans="1:3" ht="45.5" customHeight="1">
      <c r="A13" s="3" t="s">
        <v>13</v>
      </c>
      <c r="B13" s="4">
        <f t="shared" si="0"/>
        <v>11613.295833333332</v>
      </c>
      <c r="C13" s="1">
        <f>114128.9+25230.65</f>
        <v>139359.54999999999</v>
      </c>
    </row>
    <row r="14" spans="1:3" ht="58.5" customHeight="1">
      <c r="A14" s="3" t="s">
        <v>14</v>
      </c>
      <c r="B14" s="4">
        <f t="shared" si="0"/>
        <v>8812.6241666666665</v>
      </c>
      <c r="C14" s="1">
        <f>74651.39+31100.1</f>
        <v>105751.48999999999</v>
      </c>
    </row>
    <row r="15" spans="1:3" ht="64" customHeight="1">
      <c r="A15" s="3" t="s">
        <v>15</v>
      </c>
      <c r="B15" s="4">
        <f t="shared" si="0"/>
        <v>0</v>
      </c>
      <c r="C15" s="1"/>
    </row>
    <row r="16" spans="1:3" ht="15.5">
      <c r="A16" s="1" t="s">
        <v>16</v>
      </c>
      <c r="B16" s="4">
        <f t="shared" si="0"/>
        <v>2036</v>
      </c>
      <c r="C16" s="1">
        <v>24432</v>
      </c>
    </row>
    <row r="17" spans="1:3" ht="15.5">
      <c r="A17" s="1" t="s">
        <v>17</v>
      </c>
      <c r="B17" s="4">
        <f t="shared" si="0"/>
        <v>1667.0200000000002</v>
      </c>
      <c r="C17" s="1">
        <v>20004.240000000002</v>
      </c>
    </row>
    <row r="18" spans="1:3" ht="15.5">
      <c r="A18" s="1" t="s">
        <v>18</v>
      </c>
      <c r="B18" s="4">
        <f t="shared" si="0"/>
        <v>267.31</v>
      </c>
      <c r="C18" s="1">
        <v>3207.72</v>
      </c>
    </row>
    <row r="19" spans="1:3" ht="15.5">
      <c r="A19" s="1" t="s">
        <v>19</v>
      </c>
      <c r="B19" s="4">
        <f t="shared" si="0"/>
        <v>0</v>
      </c>
      <c r="C19" s="1"/>
    </row>
    <row r="20" spans="1:3" ht="15.5">
      <c r="A20" s="1" t="s">
        <v>20</v>
      </c>
      <c r="B20" s="4">
        <f t="shared" si="0"/>
        <v>940.38083333333327</v>
      </c>
      <c r="C20" s="1">
        <v>11284.57</v>
      </c>
    </row>
    <row r="21" spans="1:3" ht="15.5">
      <c r="A21" s="1" t="s">
        <v>21</v>
      </c>
      <c r="B21" s="4">
        <f t="shared" si="0"/>
        <v>1073.53</v>
      </c>
      <c r="C21" s="1">
        <v>12882.36</v>
      </c>
    </row>
    <row r="22" spans="1:3" ht="15.5">
      <c r="A22" s="1" t="s">
        <v>22</v>
      </c>
      <c r="B22" s="4">
        <f t="shared" si="0"/>
        <v>4156.9375</v>
      </c>
      <c r="C22" s="1">
        <v>49883.25</v>
      </c>
    </row>
    <row r="23" spans="1:3" ht="15.5">
      <c r="A23" s="1" t="s">
        <v>23</v>
      </c>
      <c r="B23" s="4">
        <f t="shared" si="0"/>
        <v>497.9083333333333</v>
      </c>
      <c r="C23" s="1">
        <v>5974.9</v>
      </c>
    </row>
    <row r="24" spans="1:3" ht="15.5">
      <c r="A24" s="1" t="s">
        <v>24</v>
      </c>
      <c r="B24" s="4">
        <f t="shared" si="0"/>
        <v>2912.2391666666667</v>
      </c>
      <c r="C24" s="1">
        <v>34946.870000000003</v>
      </c>
    </row>
    <row r="25" spans="1:3" ht="15.5">
      <c r="A25" s="1" t="s">
        <v>25</v>
      </c>
      <c r="B25" s="4">
        <f t="shared" si="0"/>
        <v>262.82</v>
      </c>
      <c r="C25" s="1">
        <v>3153.84</v>
      </c>
    </row>
    <row r="26" spans="1:3" ht="15.5">
      <c r="A26" s="1" t="s">
        <v>26</v>
      </c>
      <c r="B26" s="4">
        <f t="shared" si="0"/>
        <v>0</v>
      </c>
      <c r="C26" s="1"/>
    </row>
    <row r="27" spans="1:3" ht="15.5">
      <c r="A27" s="1" t="s">
        <v>27</v>
      </c>
      <c r="B27" s="4">
        <f t="shared" si="0"/>
        <v>9452.8625000000011</v>
      </c>
      <c r="C27" s="1">
        <v>113434.35</v>
      </c>
    </row>
    <row r="28" spans="1:3" ht="21.5" customHeight="1">
      <c r="A28" s="2" t="s">
        <v>28</v>
      </c>
      <c r="B28" s="4">
        <f t="shared" si="0"/>
        <v>43692.928333333337</v>
      </c>
      <c r="C28" s="2">
        <f>SUM(C13:C27)</f>
        <v>524315.14</v>
      </c>
    </row>
    <row r="29" spans="1:3" ht="27" customHeight="1">
      <c r="A29" s="2" t="s">
        <v>29</v>
      </c>
      <c r="B29" s="1"/>
      <c r="C29" s="2">
        <v>151519.34</v>
      </c>
    </row>
    <row r="30" spans="1:3" ht="37.5" customHeight="1">
      <c r="A30" s="2" t="s">
        <v>30</v>
      </c>
      <c r="B30" s="1"/>
      <c r="C30" s="2"/>
    </row>
    <row r="31" spans="1:3" ht="43.5" customHeight="1">
      <c r="A31" s="3" t="s">
        <v>31</v>
      </c>
      <c r="B31" s="1"/>
      <c r="C31" s="1">
        <v>63268.47</v>
      </c>
    </row>
    <row r="32" spans="1:3" ht="20" hidden="1" customHeight="1">
      <c r="A32" s="3" t="s">
        <v>32</v>
      </c>
      <c r="B32" s="1"/>
      <c r="C32" s="1"/>
    </row>
    <row r="33" spans="1:3" ht="24.5" customHeight="1">
      <c r="A33" s="2" t="s">
        <v>33</v>
      </c>
      <c r="B33" s="2"/>
      <c r="C33" s="2">
        <v>88250.87</v>
      </c>
    </row>
    <row r="34" spans="1:3" ht="51" customHeight="1">
      <c r="A34" s="1" t="s">
        <v>34</v>
      </c>
      <c r="B34" s="1"/>
      <c r="C34" s="1"/>
    </row>
    <row r="35" spans="1:3" ht="24" customHeight="1">
      <c r="A35" s="1" t="s">
        <v>35</v>
      </c>
      <c r="B35" s="1"/>
      <c r="C35" s="1"/>
    </row>
    <row r="36" spans="1:3" ht="29.5" customHeight="1">
      <c r="A36" s="1" t="s">
        <v>110</v>
      </c>
      <c r="B36" s="1"/>
      <c r="C36" s="1"/>
    </row>
    <row r="37" spans="1:3" ht="15.5">
      <c r="A37" s="1" t="s">
        <v>36</v>
      </c>
      <c r="B37" s="1"/>
      <c r="C37" s="1"/>
    </row>
  </sheetData>
  <pageMargins left="0.7" right="0.7" top="0.75" bottom="0.75" header="0.3" footer="0.3"/>
  <pageSetup paperSize="9" orientation="portrait" verticalDpi="0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C37"/>
  <sheetViews>
    <sheetView topLeftCell="A22" workbookViewId="0">
      <selection activeCell="C34" sqref="C34"/>
    </sheetView>
  </sheetViews>
  <sheetFormatPr defaultRowHeight="14.5"/>
  <cols>
    <col min="1" max="1" width="45.08984375" customWidth="1"/>
    <col min="2" max="2" width="16.81640625" customWidth="1"/>
    <col min="3" max="3" width="14" customWidth="1"/>
  </cols>
  <sheetData>
    <row r="1" spans="1:3" ht="15.5">
      <c r="A1" s="1" t="s">
        <v>0</v>
      </c>
      <c r="B1" s="1"/>
      <c r="C1" s="1"/>
    </row>
    <row r="2" spans="1:3" ht="15.5">
      <c r="A2" s="1" t="s">
        <v>93</v>
      </c>
      <c r="B2" s="1" t="s">
        <v>89</v>
      </c>
      <c r="C2" s="1"/>
    </row>
    <row r="3" spans="1:3" ht="15.5">
      <c r="A3" s="1" t="s">
        <v>3</v>
      </c>
      <c r="B3" s="1"/>
      <c r="C3" s="1"/>
    </row>
    <row r="4" spans="1:3" ht="15.5">
      <c r="A4" s="1" t="s">
        <v>4</v>
      </c>
      <c r="B4" s="1"/>
      <c r="C4" s="1"/>
    </row>
    <row r="5" spans="1:3" ht="15.5">
      <c r="A5" s="1" t="s">
        <v>116</v>
      </c>
      <c r="B5" s="1"/>
      <c r="C5" s="1"/>
    </row>
    <row r="6" spans="1:3" ht="15.5">
      <c r="A6" s="1"/>
      <c r="B6" s="1"/>
      <c r="C6" s="1"/>
    </row>
    <row r="7" spans="1:3" ht="15.5">
      <c r="A7" s="1" t="s">
        <v>5</v>
      </c>
      <c r="B7" s="1" t="s">
        <v>6</v>
      </c>
      <c r="C7" s="1" t="s">
        <v>7</v>
      </c>
    </row>
    <row r="8" spans="1:3" ht="15.5">
      <c r="A8" s="2" t="s">
        <v>8</v>
      </c>
      <c r="B8" s="1"/>
      <c r="C8" s="2">
        <v>-128575.36</v>
      </c>
    </row>
    <row r="9" spans="1:3" ht="46.5">
      <c r="A9" s="3" t="s">
        <v>9</v>
      </c>
      <c r="B9" s="5">
        <f>C9/12</f>
        <v>43066.495833333334</v>
      </c>
      <c r="C9" s="1">
        <v>516797.95</v>
      </c>
    </row>
    <row r="10" spans="1:3" ht="46.5">
      <c r="A10" s="3" t="s">
        <v>10</v>
      </c>
      <c r="B10" s="5">
        <f t="shared" ref="B10:B28" si="0">C10/12</f>
        <v>3619.0983333333334</v>
      </c>
      <c r="C10" s="1">
        <f>20750.38+22678.8</f>
        <v>43429.18</v>
      </c>
    </row>
    <row r="11" spans="1:3" ht="15.5">
      <c r="A11" s="2" t="s">
        <v>11</v>
      </c>
      <c r="B11" s="5">
        <f t="shared" si="0"/>
        <v>46685.594166666669</v>
      </c>
      <c r="C11" s="2">
        <f>SUM(C9:C10)</f>
        <v>560227.13</v>
      </c>
    </row>
    <row r="12" spans="1:3" ht="15.5">
      <c r="A12" s="2" t="s">
        <v>12</v>
      </c>
      <c r="B12" s="5">
        <f t="shared" si="0"/>
        <v>0</v>
      </c>
      <c r="C12" s="1"/>
    </row>
    <row r="13" spans="1:3" ht="77.5">
      <c r="A13" s="3" t="s">
        <v>13</v>
      </c>
      <c r="B13" s="5">
        <f t="shared" si="0"/>
        <v>11898.616666666667</v>
      </c>
      <c r="C13" s="1">
        <f>116917.38+25866.02</f>
        <v>142783.4</v>
      </c>
    </row>
    <row r="14" spans="1:3" ht="77.5">
      <c r="A14" s="3" t="s">
        <v>14</v>
      </c>
      <c r="B14" s="5">
        <f t="shared" si="0"/>
        <v>14913.904999999999</v>
      </c>
      <c r="C14" s="1">
        <f>36899.34+142067.52</f>
        <v>178966.86</v>
      </c>
    </row>
    <row r="15" spans="1:3" ht="62">
      <c r="A15" s="3" t="s">
        <v>15</v>
      </c>
      <c r="B15" s="5">
        <f t="shared" si="0"/>
        <v>0</v>
      </c>
      <c r="C15" s="1"/>
    </row>
    <row r="16" spans="1:3" ht="15.5">
      <c r="A16" s="1" t="s">
        <v>16</v>
      </c>
      <c r="B16" s="5">
        <f t="shared" si="0"/>
        <v>2002</v>
      </c>
      <c r="C16" s="1">
        <v>24024</v>
      </c>
    </row>
    <row r="17" spans="1:3" ht="15.5">
      <c r="A17" s="1" t="s">
        <v>17</v>
      </c>
      <c r="B17" s="5">
        <f t="shared" si="0"/>
        <v>1640.18</v>
      </c>
      <c r="C17" s="1">
        <v>19682.16</v>
      </c>
    </row>
    <row r="18" spans="1:3" ht="15.5">
      <c r="A18" s="1" t="s">
        <v>18</v>
      </c>
      <c r="B18" s="5">
        <f t="shared" si="0"/>
        <v>0</v>
      </c>
      <c r="C18" s="1"/>
    </row>
    <row r="19" spans="1:3" ht="15.5">
      <c r="A19" s="1" t="s">
        <v>19</v>
      </c>
      <c r="B19" s="5">
        <f t="shared" si="0"/>
        <v>0</v>
      </c>
      <c r="C19" s="1"/>
    </row>
    <row r="20" spans="1:3" ht="15.5">
      <c r="A20" s="1" t="s">
        <v>20</v>
      </c>
      <c r="B20" s="5">
        <f t="shared" si="0"/>
        <v>893.36166666666668</v>
      </c>
      <c r="C20" s="1">
        <v>10720.34</v>
      </c>
    </row>
    <row r="21" spans="1:3" ht="15.5">
      <c r="A21" s="1" t="s">
        <v>21</v>
      </c>
      <c r="B21" s="5">
        <f t="shared" si="0"/>
        <v>1009.7641666666667</v>
      </c>
      <c r="C21" s="1">
        <v>12117.17</v>
      </c>
    </row>
    <row r="22" spans="1:3" ht="15.5">
      <c r="A22" s="1" t="s">
        <v>22</v>
      </c>
      <c r="B22" s="5">
        <f t="shared" si="0"/>
        <v>4092.0808333333334</v>
      </c>
      <c r="C22" s="1">
        <v>49104.97</v>
      </c>
    </row>
    <row r="23" spans="1:3" ht="15.5">
      <c r="A23" s="1" t="s">
        <v>23</v>
      </c>
      <c r="B23" s="5">
        <f t="shared" si="0"/>
        <v>460.79250000000002</v>
      </c>
      <c r="C23" s="1">
        <v>5529.51</v>
      </c>
    </row>
    <row r="24" spans="1:3" ht="15.5">
      <c r="A24" s="1" t="s">
        <v>24</v>
      </c>
      <c r="B24" s="5">
        <f t="shared" si="0"/>
        <v>2776.3208333333332</v>
      </c>
      <c r="C24" s="1">
        <v>33315.85</v>
      </c>
    </row>
    <row r="25" spans="1:3" ht="15.5">
      <c r="A25" s="1" t="s">
        <v>25</v>
      </c>
      <c r="B25" s="5">
        <f t="shared" si="0"/>
        <v>248.20333333333335</v>
      </c>
      <c r="C25" s="1">
        <v>2978.44</v>
      </c>
    </row>
    <row r="26" spans="1:3" ht="15.5">
      <c r="A26" s="1" t="s">
        <v>26</v>
      </c>
      <c r="B26" s="5">
        <f t="shared" si="0"/>
        <v>0</v>
      </c>
      <c r="C26" s="1"/>
    </row>
    <row r="27" spans="1:3" ht="15.5">
      <c r="A27" s="1" t="s">
        <v>27</v>
      </c>
      <c r="B27" s="5">
        <f t="shared" si="0"/>
        <v>9305.3783333333322</v>
      </c>
      <c r="C27" s="1">
        <v>111664.54</v>
      </c>
    </row>
    <row r="28" spans="1:3" ht="21" customHeight="1">
      <c r="A28" s="2" t="s">
        <v>28</v>
      </c>
      <c r="B28" s="5">
        <f t="shared" si="0"/>
        <v>49240.603333333333</v>
      </c>
      <c r="C28" s="2">
        <f>SUM(C13:C27)</f>
        <v>590887.24</v>
      </c>
    </row>
    <row r="29" spans="1:3" ht="29.5" customHeight="1">
      <c r="A29" s="2" t="s">
        <v>29</v>
      </c>
      <c r="B29" s="1"/>
      <c r="C29" s="2"/>
    </row>
    <row r="30" spans="1:3" ht="29.5" customHeight="1">
      <c r="A30" s="2" t="s">
        <v>30</v>
      </c>
      <c r="B30" s="1"/>
      <c r="C30" s="2">
        <v>159235.47</v>
      </c>
    </row>
    <row r="31" spans="1:3" ht="41" customHeight="1">
      <c r="A31" s="3" t="s">
        <v>31</v>
      </c>
      <c r="B31" s="1"/>
      <c r="C31" s="1">
        <v>259585.22</v>
      </c>
    </row>
    <row r="32" spans="1:3" ht="0.5" customHeight="1">
      <c r="A32" s="3" t="s">
        <v>32</v>
      </c>
      <c r="B32" s="1"/>
      <c r="C32" s="1">
        <v>-418820.69</v>
      </c>
    </row>
    <row r="33" spans="1:3" ht="33.5" customHeight="1">
      <c r="A33" s="2" t="s">
        <v>33</v>
      </c>
      <c r="B33" s="2"/>
      <c r="C33" s="2">
        <v>-418820.69</v>
      </c>
    </row>
    <row r="34" spans="1:3" ht="44.5" customHeight="1">
      <c r="A34" s="1" t="s">
        <v>34</v>
      </c>
      <c r="B34" s="1"/>
      <c r="C34" s="1"/>
    </row>
    <row r="35" spans="1:3" ht="29" customHeight="1">
      <c r="A35" s="1" t="s">
        <v>35</v>
      </c>
      <c r="B35" s="1"/>
      <c r="C35" s="1"/>
    </row>
    <row r="36" spans="1:3" ht="23" customHeight="1">
      <c r="A36" s="1" t="s">
        <v>64</v>
      </c>
      <c r="B36" s="1"/>
      <c r="C36" s="1"/>
    </row>
    <row r="37" spans="1:3" ht="25.5" customHeight="1">
      <c r="A37" s="1" t="s">
        <v>36</v>
      </c>
      <c r="B37" s="1"/>
      <c r="C37" s="1"/>
    </row>
  </sheetData>
  <pageMargins left="0.7" right="0.7" top="0.75" bottom="0.75" header="0.3" footer="0.3"/>
  <pageSetup paperSize="9" orientation="portrait" verticalDpi="0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C37"/>
  <sheetViews>
    <sheetView workbookViewId="0">
      <selection activeCell="C34" sqref="C34"/>
    </sheetView>
  </sheetViews>
  <sheetFormatPr defaultRowHeight="14.5"/>
  <cols>
    <col min="1" max="1" width="50.7265625" customWidth="1"/>
    <col min="2" max="2" width="16" customWidth="1"/>
    <col min="3" max="3" width="12.90625" customWidth="1"/>
  </cols>
  <sheetData>
    <row r="1" spans="1:3" ht="15.5">
      <c r="A1" s="1" t="s">
        <v>0</v>
      </c>
      <c r="B1" s="1"/>
      <c r="C1" s="1"/>
    </row>
    <row r="2" spans="1:3" ht="15.5">
      <c r="A2" s="1" t="s">
        <v>94</v>
      </c>
      <c r="B2" s="1" t="s">
        <v>89</v>
      </c>
      <c r="C2" s="1"/>
    </row>
    <row r="3" spans="1:3" ht="15.5">
      <c r="A3" s="1" t="s">
        <v>3</v>
      </c>
      <c r="B3" s="1"/>
      <c r="C3" s="1"/>
    </row>
    <row r="4" spans="1:3" ht="15.5">
      <c r="A4" s="1" t="s">
        <v>4</v>
      </c>
      <c r="B4" s="1"/>
      <c r="C4" s="1"/>
    </row>
    <row r="5" spans="1:3" ht="15.5">
      <c r="A5" s="1" t="s">
        <v>116</v>
      </c>
      <c r="B5" s="1"/>
      <c r="C5" s="1"/>
    </row>
    <row r="6" spans="1:3" ht="15.5">
      <c r="A6" s="1"/>
      <c r="B6" s="1"/>
      <c r="C6" s="1"/>
    </row>
    <row r="7" spans="1:3" ht="15.5">
      <c r="A7" s="1" t="s">
        <v>5</v>
      </c>
      <c r="B7" s="1" t="s">
        <v>6</v>
      </c>
      <c r="C7" s="1" t="s">
        <v>7</v>
      </c>
    </row>
    <row r="8" spans="1:3" ht="15.5">
      <c r="A8" s="2" t="s">
        <v>8</v>
      </c>
      <c r="B8" s="1"/>
      <c r="C8" s="2">
        <v>-46316.9</v>
      </c>
    </row>
    <row r="9" spans="1:3" ht="33" customHeight="1">
      <c r="A9" s="3" t="s">
        <v>9</v>
      </c>
      <c r="B9" s="5">
        <f>C9/12</f>
        <v>45756.667500000003</v>
      </c>
      <c r="C9" s="1">
        <v>549080.01</v>
      </c>
    </row>
    <row r="10" spans="1:3" ht="53.5" customHeight="1">
      <c r="A10" s="3" t="s">
        <v>10</v>
      </c>
      <c r="B10" s="5">
        <f t="shared" ref="B10:B28" si="0">C10/12</f>
        <v>1889.8999999999999</v>
      </c>
      <c r="C10" s="1">
        <v>22678.799999999999</v>
      </c>
    </row>
    <row r="11" spans="1:3" ht="18.5" customHeight="1">
      <c r="A11" s="2" t="s">
        <v>11</v>
      </c>
      <c r="B11" s="5">
        <f t="shared" si="0"/>
        <v>47646.567500000005</v>
      </c>
      <c r="C11" s="2">
        <f>SUM(C9:C10)</f>
        <v>571758.81000000006</v>
      </c>
    </row>
    <row r="12" spans="1:3" ht="15.5">
      <c r="A12" s="2" t="s">
        <v>12</v>
      </c>
      <c r="B12" s="5">
        <f t="shared" si="0"/>
        <v>0</v>
      </c>
      <c r="C12" s="1"/>
    </row>
    <row r="13" spans="1:3" ht="65.5" customHeight="1">
      <c r="A13" s="3" t="s">
        <v>13</v>
      </c>
      <c r="B13" s="5">
        <f t="shared" si="0"/>
        <v>11855.043333333335</v>
      </c>
      <c r="C13" s="1">
        <f>116489.16+25771.36</f>
        <v>142260.52000000002</v>
      </c>
    </row>
    <row r="14" spans="1:3" ht="67" customHeight="1">
      <c r="A14" s="3" t="s">
        <v>14</v>
      </c>
      <c r="B14" s="5">
        <f t="shared" si="0"/>
        <v>12623.230000000001</v>
      </c>
      <c r="C14" s="1">
        <f>31410.48+120068.28</f>
        <v>151478.76</v>
      </c>
    </row>
    <row r="15" spans="1:3" ht="57.5" customHeight="1">
      <c r="A15" s="3" t="s">
        <v>15</v>
      </c>
      <c r="B15" s="5">
        <f t="shared" si="0"/>
        <v>0</v>
      </c>
      <c r="C15" s="1"/>
    </row>
    <row r="16" spans="1:3" ht="15.5">
      <c r="A16" s="1" t="s">
        <v>16</v>
      </c>
      <c r="B16" s="5">
        <f t="shared" si="0"/>
        <v>2039.9166666666667</v>
      </c>
      <c r="C16" s="1">
        <v>24479</v>
      </c>
    </row>
    <row r="17" spans="1:3" ht="15.5">
      <c r="A17" s="1" t="s">
        <v>17</v>
      </c>
      <c r="B17" s="5">
        <f t="shared" si="0"/>
        <v>1661.3500000000001</v>
      </c>
      <c r="C17" s="1">
        <v>19936.2</v>
      </c>
    </row>
    <row r="18" spans="1:3" ht="15.5">
      <c r="A18" s="1" t="s">
        <v>18</v>
      </c>
      <c r="B18" s="5">
        <f t="shared" si="0"/>
        <v>161.88</v>
      </c>
      <c r="C18" s="1">
        <v>1942.56</v>
      </c>
    </row>
    <row r="19" spans="1:3" ht="15.5">
      <c r="A19" s="1" t="s">
        <v>19</v>
      </c>
      <c r="B19" s="5">
        <f t="shared" si="0"/>
        <v>0</v>
      </c>
      <c r="C19" s="1"/>
    </row>
    <row r="20" spans="1:3" ht="15.5">
      <c r="A20" s="1" t="s">
        <v>20</v>
      </c>
      <c r="B20" s="5">
        <f t="shared" si="0"/>
        <v>940.38083333333327</v>
      </c>
      <c r="C20" s="1">
        <v>11284.57</v>
      </c>
    </row>
    <row r="21" spans="1:3" ht="15.5">
      <c r="A21" s="1" t="s">
        <v>21</v>
      </c>
      <c r="B21" s="5">
        <f t="shared" si="0"/>
        <v>1039.4233333333334</v>
      </c>
      <c r="C21" s="1">
        <v>12473.08</v>
      </c>
    </row>
    <row r="22" spans="1:3" ht="15.5">
      <c r="A22" s="1" t="s">
        <v>22</v>
      </c>
      <c r="B22" s="5">
        <f t="shared" si="0"/>
        <v>4135.9241666666667</v>
      </c>
      <c r="C22" s="1">
        <v>49631.09</v>
      </c>
    </row>
    <row r="23" spans="1:3" ht="15.5">
      <c r="A23" s="1" t="s">
        <v>23</v>
      </c>
      <c r="B23" s="5">
        <f t="shared" si="0"/>
        <v>490.68583333333328</v>
      </c>
      <c r="C23" s="1">
        <v>5888.23</v>
      </c>
    </row>
    <row r="24" spans="1:3" ht="15.5">
      <c r="A24" s="1" t="s">
        <v>24</v>
      </c>
      <c r="B24" s="5">
        <f t="shared" si="0"/>
        <v>2833.4683333333337</v>
      </c>
      <c r="C24" s="1">
        <v>34001.620000000003</v>
      </c>
    </row>
    <row r="25" spans="1:3" ht="15.5">
      <c r="A25" s="1" t="s">
        <v>25</v>
      </c>
      <c r="B25" s="5">
        <f t="shared" si="0"/>
        <v>246.75583333333336</v>
      </c>
      <c r="C25" s="1">
        <v>2961.07</v>
      </c>
    </row>
    <row r="26" spans="1:3" ht="15.5">
      <c r="A26" s="1" t="s">
        <v>26</v>
      </c>
      <c r="B26" s="5">
        <f t="shared" si="0"/>
        <v>0</v>
      </c>
      <c r="C26" s="1"/>
    </row>
    <row r="27" spans="1:3" ht="15.5">
      <c r="A27" s="1" t="s">
        <v>27</v>
      </c>
      <c r="B27" s="5">
        <f t="shared" si="0"/>
        <v>9405.0774999999994</v>
      </c>
      <c r="C27" s="1">
        <v>112860.93</v>
      </c>
    </row>
    <row r="28" spans="1:3" ht="15.5">
      <c r="A28" s="2" t="s">
        <v>28</v>
      </c>
      <c r="B28" s="5">
        <f t="shared" si="0"/>
        <v>47433.135833333334</v>
      </c>
      <c r="C28" s="2">
        <f>SUM(C13:C27)</f>
        <v>569197.63</v>
      </c>
    </row>
    <row r="29" spans="1:3" ht="26.5" customHeight="1">
      <c r="A29" s="2" t="s">
        <v>29</v>
      </c>
      <c r="B29" s="1"/>
      <c r="C29" s="2"/>
    </row>
    <row r="30" spans="1:3" ht="33" customHeight="1">
      <c r="A30" s="2" t="s">
        <v>30</v>
      </c>
      <c r="B30" s="1"/>
      <c r="C30" s="2">
        <v>43755.72</v>
      </c>
    </row>
    <row r="31" spans="1:3" ht="47" customHeight="1">
      <c r="A31" s="3" t="s">
        <v>31</v>
      </c>
      <c r="B31" s="1"/>
      <c r="C31" s="1">
        <v>202712.97</v>
      </c>
    </row>
    <row r="32" spans="1:3" ht="1.5" customHeight="1">
      <c r="A32" s="3" t="s">
        <v>32</v>
      </c>
      <c r="B32" s="1"/>
      <c r="C32" s="1"/>
    </row>
    <row r="33" spans="1:3" ht="29.5" customHeight="1">
      <c r="A33" s="2" t="s">
        <v>33</v>
      </c>
      <c r="B33" s="2"/>
      <c r="C33" s="2">
        <v>-246468.69</v>
      </c>
    </row>
    <row r="34" spans="1:3" ht="45" customHeight="1">
      <c r="A34" s="1" t="s">
        <v>34</v>
      </c>
      <c r="B34" s="1"/>
      <c r="C34" s="1"/>
    </row>
    <row r="35" spans="1:3" ht="28" customHeight="1">
      <c r="A35" s="1" t="s">
        <v>35</v>
      </c>
      <c r="B35" s="1"/>
      <c r="C35" s="1"/>
    </row>
    <row r="36" spans="1:3" ht="15.5">
      <c r="A36" s="1" t="s">
        <v>64</v>
      </c>
      <c r="B36" s="1"/>
      <c r="C36" s="1"/>
    </row>
    <row r="37" spans="1:3" ht="15.5">
      <c r="A37" s="1" t="s">
        <v>36</v>
      </c>
      <c r="B37" s="1"/>
      <c r="C37" s="1"/>
    </row>
  </sheetData>
  <pageMargins left="0.7" right="0.7" top="0.75" bottom="0.75" header="0.3" footer="0.3"/>
  <pageSetup paperSize="9" orientation="portrait" verticalDpi="0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G46"/>
  <sheetViews>
    <sheetView topLeftCell="A21" workbookViewId="0">
      <selection activeCell="C34" sqref="C34"/>
    </sheetView>
  </sheetViews>
  <sheetFormatPr defaultRowHeight="14.5"/>
  <cols>
    <col min="1" max="1" width="47.1796875" customWidth="1"/>
    <col min="2" max="2" width="16.1796875" customWidth="1"/>
    <col min="3" max="3" width="16.54296875" customWidth="1"/>
  </cols>
  <sheetData>
    <row r="1" spans="1:7" ht="15.5">
      <c r="A1" s="1" t="s">
        <v>0</v>
      </c>
      <c r="B1" s="1"/>
      <c r="C1" s="1"/>
    </row>
    <row r="2" spans="1:7" ht="15.5">
      <c r="A2" s="1" t="s">
        <v>95</v>
      </c>
      <c r="B2" s="1" t="s">
        <v>89</v>
      </c>
      <c r="C2" s="1"/>
    </row>
    <row r="3" spans="1:7" ht="15.5">
      <c r="A3" s="1" t="s">
        <v>3</v>
      </c>
      <c r="B3" s="1"/>
      <c r="C3" s="1"/>
    </row>
    <row r="4" spans="1:7" ht="15.5">
      <c r="A4" s="1" t="s">
        <v>4</v>
      </c>
      <c r="B4" s="1"/>
      <c r="C4" s="1"/>
    </row>
    <row r="5" spans="1:7" ht="15.5">
      <c r="A5" s="1" t="s">
        <v>116</v>
      </c>
      <c r="B5" s="1"/>
      <c r="C5" s="1"/>
    </row>
    <row r="6" spans="1:7" ht="15.5">
      <c r="A6" s="1"/>
      <c r="B6" s="1"/>
      <c r="C6" s="1"/>
    </row>
    <row r="7" spans="1:7" ht="15.5">
      <c r="A7" s="1" t="s">
        <v>5</v>
      </c>
      <c r="B7" s="1" t="s">
        <v>6</v>
      </c>
      <c r="C7" s="1" t="s">
        <v>7</v>
      </c>
    </row>
    <row r="8" spans="1:7" ht="15.5">
      <c r="A8" s="2" t="s">
        <v>8</v>
      </c>
      <c r="B8" s="1"/>
      <c r="C8" s="2">
        <v>-53759.05</v>
      </c>
    </row>
    <row r="9" spans="1:7" ht="29.5" customHeight="1">
      <c r="A9" s="3" t="s">
        <v>9</v>
      </c>
      <c r="B9" s="5">
        <f>C9/12</f>
        <v>42528.144166666665</v>
      </c>
      <c r="C9" s="1">
        <v>510337.73</v>
      </c>
    </row>
    <row r="10" spans="1:7" ht="46.5">
      <c r="A10" s="3" t="s">
        <v>10</v>
      </c>
      <c r="B10" s="5">
        <f t="shared" ref="B10:B28" si="0">C10/12</f>
        <v>3812.2941666666666</v>
      </c>
      <c r="C10" s="1">
        <f>28887.53+16860</f>
        <v>45747.53</v>
      </c>
      <c r="E10" s="1"/>
      <c r="F10" s="1"/>
      <c r="G10" s="1"/>
    </row>
    <row r="11" spans="1:7" ht="15.5">
      <c r="A11" s="2" t="s">
        <v>11</v>
      </c>
      <c r="B11" s="5">
        <f t="shared" si="0"/>
        <v>46340.438333333332</v>
      </c>
      <c r="C11" s="2">
        <f>SUM(C9:C10)</f>
        <v>556085.26</v>
      </c>
      <c r="E11" s="1"/>
      <c r="F11" s="1"/>
      <c r="G11" s="1"/>
    </row>
    <row r="12" spans="1:7" ht="15.5">
      <c r="A12" s="2" t="s">
        <v>12</v>
      </c>
      <c r="B12" s="5">
        <f t="shared" si="0"/>
        <v>0</v>
      </c>
      <c r="C12" s="1"/>
      <c r="E12" s="1"/>
      <c r="F12" s="1"/>
      <c r="G12" s="1"/>
    </row>
    <row r="13" spans="1:7" ht="77.5">
      <c r="A13" s="3" t="s">
        <v>13</v>
      </c>
      <c r="B13" s="5">
        <f t="shared" si="0"/>
        <v>11875.286666666667</v>
      </c>
      <c r="C13" s="1">
        <f>116688.06+25815.38</f>
        <v>142503.44</v>
      </c>
      <c r="E13" s="1"/>
      <c r="F13" s="1"/>
      <c r="G13" s="1"/>
    </row>
    <row r="14" spans="1:7" ht="77.5">
      <c r="A14" s="3" t="s">
        <v>14</v>
      </c>
      <c r="B14" s="5">
        <f t="shared" si="0"/>
        <v>12068.345000000001</v>
      </c>
      <c r="C14" s="1">
        <f>36922.94+107897.2</f>
        <v>144820.14000000001</v>
      </c>
      <c r="E14" s="1"/>
      <c r="F14" s="1"/>
      <c r="G14" s="1"/>
    </row>
    <row r="15" spans="1:7" ht="44.5" customHeight="1">
      <c r="A15" s="3" t="s">
        <v>15</v>
      </c>
      <c r="B15" s="5">
        <f t="shared" si="0"/>
        <v>0</v>
      </c>
      <c r="C15" s="1"/>
      <c r="E15" s="1"/>
      <c r="F15" s="1"/>
      <c r="G15" s="1"/>
    </row>
    <row r="16" spans="1:7" ht="15.5">
      <c r="A16" s="1" t="s">
        <v>16</v>
      </c>
      <c r="B16" s="5">
        <f t="shared" si="0"/>
        <v>2623.4166666666665</v>
      </c>
      <c r="C16" s="1">
        <v>31481</v>
      </c>
      <c r="E16" s="1"/>
      <c r="F16" s="1"/>
      <c r="G16" s="1"/>
    </row>
    <row r="17" spans="1:7" ht="15.5">
      <c r="A17" s="1" t="s">
        <v>17</v>
      </c>
      <c r="B17" s="5">
        <f t="shared" si="0"/>
        <v>1636.5</v>
      </c>
      <c r="C17" s="1">
        <v>19638</v>
      </c>
      <c r="E17" s="2"/>
      <c r="F17" s="1"/>
      <c r="G17" s="2"/>
    </row>
    <row r="18" spans="1:7" ht="15.5">
      <c r="A18" s="1" t="s">
        <v>18</v>
      </c>
      <c r="B18" s="5">
        <f t="shared" si="0"/>
        <v>0</v>
      </c>
      <c r="C18" s="1"/>
      <c r="E18" s="3"/>
      <c r="F18" s="5"/>
      <c r="G18" s="1"/>
    </row>
    <row r="19" spans="1:7" ht="15.5">
      <c r="A19" s="1" t="s">
        <v>19</v>
      </c>
      <c r="B19" s="5">
        <f t="shared" si="0"/>
        <v>0</v>
      </c>
      <c r="C19" s="1"/>
      <c r="E19" s="3"/>
      <c r="F19" s="5"/>
      <c r="G19" s="1"/>
    </row>
    <row r="20" spans="1:7" ht="15.5">
      <c r="A20" s="1" t="s">
        <v>20</v>
      </c>
      <c r="B20" s="5">
        <f t="shared" si="0"/>
        <v>858.09749999999997</v>
      </c>
      <c r="C20" s="1">
        <v>10297.17</v>
      </c>
      <c r="E20" s="2"/>
      <c r="F20" s="5"/>
      <c r="G20" s="2"/>
    </row>
    <row r="21" spans="1:7" ht="15.5">
      <c r="A21" s="1" t="s">
        <v>21</v>
      </c>
      <c r="B21" s="5">
        <f t="shared" si="0"/>
        <v>1005.8975</v>
      </c>
      <c r="C21" s="1">
        <v>12070.77</v>
      </c>
      <c r="E21" s="2"/>
      <c r="F21" s="5"/>
      <c r="G21" s="1"/>
    </row>
    <row r="22" spans="1:7" ht="15.5">
      <c r="A22" s="1" t="s">
        <v>22</v>
      </c>
      <c r="B22" s="5">
        <f t="shared" si="0"/>
        <v>4083.0008333333335</v>
      </c>
      <c r="C22" s="1">
        <v>48996.01</v>
      </c>
      <c r="E22" s="3"/>
      <c r="F22" s="5"/>
      <c r="G22" s="1"/>
    </row>
    <row r="23" spans="1:7" ht="15.5">
      <c r="A23" s="1" t="s">
        <v>23</v>
      </c>
      <c r="B23" s="5">
        <f t="shared" si="0"/>
        <v>463.88666666666671</v>
      </c>
      <c r="C23" s="1">
        <v>5566.64</v>
      </c>
      <c r="E23" s="3"/>
      <c r="F23" s="5"/>
      <c r="G23" s="1"/>
    </row>
    <row r="24" spans="1:7" ht="15.5">
      <c r="A24" s="1" t="s">
        <v>24</v>
      </c>
      <c r="B24" s="5">
        <f t="shared" si="0"/>
        <v>2755.7950000000001</v>
      </c>
      <c r="C24" s="1">
        <v>33069.54</v>
      </c>
      <c r="E24" s="3"/>
      <c r="F24" s="5"/>
      <c r="G24" s="1"/>
    </row>
    <row r="25" spans="1:7" ht="15.5">
      <c r="A25" s="1" t="s">
        <v>25</v>
      </c>
      <c r="B25" s="5">
        <f t="shared" si="0"/>
        <v>245.91583333333332</v>
      </c>
      <c r="C25" s="1">
        <v>2950.99</v>
      </c>
      <c r="E25" s="1"/>
      <c r="F25" s="5"/>
      <c r="G25" s="1"/>
    </row>
    <row r="26" spans="1:7" ht="15.5">
      <c r="A26" s="1" t="s">
        <v>26</v>
      </c>
      <c r="B26" s="5">
        <f t="shared" si="0"/>
        <v>0</v>
      </c>
      <c r="C26" s="1"/>
      <c r="E26" s="1"/>
      <c r="F26" s="5"/>
      <c r="G26" s="1"/>
    </row>
    <row r="27" spans="1:7" ht="15.5">
      <c r="A27" s="1" t="s">
        <v>27</v>
      </c>
      <c r="B27" s="5">
        <f t="shared" si="0"/>
        <v>9284.73</v>
      </c>
      <c r="C27" s="1">
        <v>111416.76</v>
      </c>
      <c r="E27" s="1"/>
      <c r="F27" s="5"/>
      <c r="G27" s="1"/>
    </row>
    <row r="28" spans="1:7" ht="15.5">
      <c r="A28" s="2" t="s">
        <v>28</v>
      </c>
      <c r="B28" s="5">
        <f t="shared" si="0"/>
        <v>46900.871666666666</v>
      </c>
      <c r="C28" s="2">
        <f>SUM(C13:C27)</f>
        <v>562810.46</v>
      </c>
      <c r="E28" s="1"/>
      <c r="F28" s="5"/>
      <c r="G28" s="1"/>
    </row>
    <row r="29" spans="1:7" ht="22" customHeight="1">
      <c r="A29" s="2" t="s">
        <v>29</v>
      </c>
      <c r="B29" s="1"/>
      <c r="C29" s="2"/>
      <c r="E29" s="1"/>
      <c r="F29" s="5"/>
      <c r="G29" s="1"/>
    </row>
    <row r="30" spans="1:7" ht="28" customHeight="1">
      <c r="A30" s="2" t="s">
        <v>30</v>
      </c>
      <c r="B30" s="1"/>
      <c r="C30" s="2">
        <v>60484.26</v>
      </c>
      <c r="E30" s="1"/>
      <c r="F30" s="5"/>
      <c r="G30" s="1"/>
    </row>
    <row r="31" spans="1:7" ht="46.5" customHeight="1">
      <c r="A31" s="3" t="s">
        <v>31</v>
      </c>
      <c r="B31" s="1"/>
      <c r="C31" s="1">
        <v>122444.5</v>
      </c>
      <c r="E31" s="1"/>
      <c r="F31" s="5"/>
      <c r="G31" s="1"/>
    </row>
    <row r="32" spans="1:7" ht="11" hidden="1" customHeight="1">
      <c r="A32" s="3" t="s">
        <v>32</v>
      </c>
      <c r="B32" s="1"/>
      <c r="C32" s="1"/>
      <c r="E32" s="1"/>
      <c r="F32" s="5"/>
      <c r="G32" s="1"/>
    </row>
    <row r="33" spans="1:7" ht="34" customHeight="1">
      <c r="A33" s="2" t="s">
        <v>33</v>
      </c>
      <c r="B33" s="2"/>
      <c r="C33" s="2">
        <v>-182928.76</v>
      </c>
      <c r="E33" s="1"/>
      <c r="F33" s="5"/>
      <c r="G33" s="1"/>
    </row>
    <row r="34" spans="1:7" ht="37.5" customHeight="1">
      <c r="A34" s="1" t="s">
        <v>34</v>
      </c>
      <c r="B34" s="1"/>
      <c r="C34" s="1"/>
      <c r="E34" s="1"/>
      <c r="F34" s="5"/>
      <c r="G34" s="1"/>
    </row>
    <row r="35" spans="1:7" ht="46" customHeight="1">
      <c r="A35" s="1" t="s">
        <v>35</v>
      </c>
      <c r="B35" s="1"/>
      <c r="C35" s="1"/>
      <c r="E35" s="1"/>
      <c r="F35" s="5"/>
      <c r="G35" s="1"/>
    </row>
    <row r="36" spans="1:7" ht="37" customHeight="1">
      <c r="A36" s="1" t="s">
        <v>64</v>
      </c>
      <c r="B36" s="1"/>
      <c r="C36" s="1"/>
      <c r="E36" s="1"/>
      <c r="F36" s="5"/>
      <c r="G36" s="1"/>
    </row>
    <row r="37" spans="1:7" ht="15.5">
      <c r="A37" s="1" t="s">
        <v>36</v>
      </c>
      <c r="B37" s="1"/>
      <c r="C37" s="1"/>
      <c r="E37" s="2"/>
      <c r="F37" s="5"/>
      <c r="G37" s="2"/>
    </row>
    <row r="38" spans="1:7" ht="15.5">
      <c r="E38" s="2"/>
      <c r="F38" s="1"/>
      <c r="G38" s="2"/>
    </row>
    <row r="39" spans="1:7" ht="15.5">
      <c r="E39" s="2"/>
      <c r="F39" s="1"/>
      <c r="G39" s="2"/>
    </row>
    <row r="40" spans="1:7" ht="15.5">
      <c r="E40" s="3"/>
      <c r="F40" s="1"/>
      <c r="G40" s="1"/>
    </row>
    <row r="41" spans="1:7" ht="15.5">
      <c r="E41" s="3"/>
      <c r="F41" s="1"/>
      <c r="G41" s="1"/>
    </row>
    <row r="42" spans="1:7" ht="15.5">
      <c r="E42" s="2"/>
      <c r="F42" s="2"/>
      <c r="G42" s="2"/>
    </row>
    <row r="43" spans="1:7" ht="15.5">
      <c r="E43" s="1"/>
      <c r="F43" s="1"/>
      <c r="G43" s="1"/>
    </row>
    <row r="44" spans="1:7" ht="15.5">
      <c r="E44" s="1"/>
      <c r="F44" s="1"/>
      <c r="G44" s="1"/>
    </row>
    <row r="45" spans="1:7" ht="15.5">
      <c r="E45" s="1"/>
      <c r="F45" s="1"/>
      <c r="G45" s="1"/>
    </row>
    <row r="46" spans="1:7" ht="15.5">
      <c r="E46" s="1"/>
      <c r="F46" s="1"/>
      <c r="G46" s="1"/>
    </row>
  </sheetData>
  <pageMargins left="0.7" right="0.7" top="0.75" bottom="0.75" header="0.3" footer="0.3"/>
  <pageSetup paperSize="9" orientation="portrait" verticalDpi="0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C37"/>
  <sheetViews>
    <sheetView workbookViewId="0">
      <selection activeCell="C11" sqref="C11"/>
    </sheetView>
  </sheetViews>
  <sheetFormatPr defaultRowHeight="14.5"/>
  <cols>
    <col min="1" max="1" width="48.7265625" customWidth="1"/>
    <col min="2" max="2" width="17.1796875" customWidth="1"/>
    <col min="3" max="3" width="16.54296875" customWidth="1"/>
  </cols>
  <sheetData>
    <row r="1" spans="1:3" ht="15.5">
      <c r="A1" s="1" t="s">
        <v>0</v>
      </c>
      <c r="B1" s="1"/>
      <c r="C1" s="1"/>
    </row>
    <row r="2" spans="1:3" ht="15.5">
      <c r="A2" s="1" t="s">
        <v>96</v>
      </c>
      <c r="B2" s="1" t="s">
        <v>97</v>
      </c>
      <c r="C2" s="1"/>
    </row>
    <row r="3" spans="1:3" ht="15.5">
      <c r="A3" s="1" t="s">
        <v>3</v>
      </c>
      <c r="B3" s="1"/>
      <c r="C3" s="1"/>
    </row>
    <row r="4" spans="1:3" ht="15.5">
      <c r="A4" s="1" t="s">
        <v>4</v>
      </c>
      <c r="B4" s="1"/>
      <c r="C4" s="1"/>
    </row>
    <row r="5" spans="1:3" ht="15.5">
      <c r="A5" s="1" t="s">
        <v>116</v>
      </c>
      <c r="B5" s="1"/>
      <c r="C5" s="1"/>
    </row>
    <row r="6" spans="1:3" ht="15.5">
      <c r="A6" s="1"/>
      <c r="B6" s="1"/>
      <c r="C6" s="1"/>
    </row>
    <row r="7" spans="1:3" ht="15.5">
      <c r="A7" s="1" t="s">
        <v>5</v>
      </c>
      <c r="B7" s="1" t="s">
        <v>6</v>
      </c>
      <c r="C7" s="1" t="s">
        <v>7</v>
      </c>
    </row>
    <row r="8" spans="1:3" ht="15.5">
      <c r="A8" s="2" t="s">
        <v>8</v>
      </c>
      <c r="B8" s="1"/>
      <c r="C8" s="2">
        <v>5647.8</v>
      </c>
    </row>
    <row r="9" spans="1:3" ht="31">
      <c r="A9" s="3" t="s">
        <v>9</v>
      </c>
      <c r="B9" s="5">
        <f>C9/12</f>
        <v>80437.124166666661</v>
      </c>
      <c r="C9" s="1">
        <v>965245.49</v>
      </c>
    </row>
    <row r="10" spans="1:3" ht="46.5">
      <c r="A10" s="3" t="s">
        <v>10</v>
      </c>
      <c r="B10" s="5">
        <f t="shared" ref="B10:B28" si="0">C10/12</f>
        <v>7687.4833333333327</v>
      </c>
      <c r="C10" s="1">
        <f>57552.2+34697.6</f>
        <v>92249.799999999988</v>
      </c>
    </row>
    <row r="11" spans="1:3" ht="15.5">
      <c r="A11" s="2" t="s">
        <v>11</v>
      </c>
      <c r="B11" s="5">
        <f t="shared" si="0"/>
        <v>88124.607499999998</v>
      </c>
      <c r="C11" s="2">
        <f>SUM(C9:C10)</f>
        <v>1057495.29</v>
      </c>
    </row>
    <row r="12" spans="1:3" ht="15.5">
      <c r="A12" s="2" t="s">
        <v>12</v>
      </c>
      <c r="B12" s="5">
        <f t="shared" si="0"/>
        <v>0</v>
      </c>
      <c r="C12" s="1"/>
    </row>
    <row r="13" spans="1:3" ht="77.5">
      <c r="A13" s="3" t="s">
        <v>13</v>
      </c>
      <c r="B13" s="5">
        <f t="shared" si="0"/>
        <v>24531.956666666665</v>
      </c>
      <c r="C13" s="1">
        <f>241054.14+53329.34</f>
        <v>294383.48</v>
      </c>
    </row>
    <row r="14" spans="1:3" ht="77.5">
      <c r="A14" s="3" t="s">
        <v>14</v>
      </c>
      <c r="B14" s="5">
        <f t="shared" si="0"/>
        <v>18396.494999999999</v>
      </c>
      <c r="C14" s="1">
        <f>62384.14+158373.8</f>
        <v>220757.94</v>
      </c>
    </row>
    <row r="15" spans="1:3" ht="46.5">
      <c r="A15" s="3" t="s">
        <v>15</v>
      </c>
      <c r="B15" s="5">
        <f t="shared" si="0"/>
        <v>0</v>
      </c>
      <c r="C15" s="1"/>
    </row>
    <row r="16" spans="1:3" ht="15.5">
      <c r="A16" s="1" t="s">
        <v>16</v>
      </c>
      <c r="B16" s="5">
        <f t="shared" si="0"/>
        <v>7599.5</v>
      </c>
      <c r="C16" s="1">
        <v>91194</v>
      </c>
    </row>
    <row r="17" spans="1:3" ht="15.5">
      <c r="A17" s="1" t="s">
        <v>17</v>
      </c>
      <c r="B17" s="5">
        <f t="shared" si="0"/>
        <v>3419.31</v>
      </c>
      <c r="C17" s="1">
        <v>41031.72</v>
      </c>
    </row>
    <row r="18" spans="1:3" ht="15.5">
      <c r="A18" s="1" t="s">
        <v>18</v>
      </c>
      <c r="B18" s="5">
        <f t="shared" si="0"/>
        <v>481.71000000000004</v>
      </c>
      <c r="C18" s="1">
        <v>5780.52</v>
      </c>
    </row>
    <row r="19" spans="1:3" ht="15.5">
      <c r="A19" s="1" t="s">
        <v>19</v>
      </c>
      <c r="B19" s="5">
        <f t="shared" si="0"/>
        <v>0</v>
      </c>
      <c r="C19" s="1"/>
    </row>
    <row r="20" spans="1:3" ht="15.5">
      <c r="A20" s="1" t="s">
        <v>20</v>
      </c>
      <c r="B20" s="5">
        <f t="shared" si="0"/>
        <v>1622.1575</v>
      </c>
      <c r="C20" s="1">
        <v>19465.89</v>
      </c>
    </row>
    <row r="21" spans="1:3" ht="15.5">
      <c r="A21" s="1" t="s">
        <v>21</v>
      </c>
      <c r="B21" s="5">
        <f t="shared" si="0"/>
        <v>1921.2383333333335</v>
      </c>
      <c r="C21" s="1">
        <v>23054.86</v>
      </c>
    </row>
    <row r="22" spans="1:3" ht="15.5">
      <c r="A22" s="1" t="s">
        <v>22</v>
      </c>
      <c r="B22" s="5">
        <f t="shared" si="0"/>
        <v>7657.1349999999993</v>
      </c>
      <c r="C22" s="1">
        <v>91885.62</v>
      </c>
    </row>
    <row r="23" spans="1:3" ht="15.5">
      <c r="A23" s="1" t="s">
        <v>23</v>
      </c>
      <c r="B23" s="5">
        <f t="shared" si="0"/>
        <v>1012.2125</v>
      </c>
      <c r="C23" s="1">
        <v>12146.55</v>
      </c>
    </row>
    <row r="24" spans="1:3" ht="15.5">
      <c r="A24" s="1" t="s">
        <v>24</v>
      </c>
      <c r="B24" s="5">
        <f t="shared" si="0"/>
        <v>5240.6358333333328</v>
      </c>
      <c r="C24" s="1">
        <v>62887.63</v>
      </c>
    </row>
    <row r="25" spans="1:3" ht="15.5">
      <c r="A25" s="1" t="s">
        <v>25</v>
      </c>
      <c r="B25" s="5">
        <f t="shared" si="0"/>
        <v>473.68333333333334</v>
      </c>
      <c r="C25" s="1">
        <v>5684.2</v>
      </c>
    </row>
    <row r="26" spans="1:3" ht="15.5">
      <c r="A26" s="1" t="s">
        <v>26</v>
      </c>
      <c r="B26" s="5">
        <f t="shared" si="0"/>
        <v>0</v>
      </c>
      <c r="C26" s="1"/>
    </row>
    <row r="27" spans="1:3" ht="15.5">
      <c r="A27" s="1" t="s">
        <v>27</v>
      </c>
      <c r="B27" s="5">
        <f t="shared" si="0"/>
        <v>17412.298333333332</v>
      </c>
      <c r="C27" s="1">
        <v>208947.58</v>
      </c>
    </row>
    <row r="28" spans="1:3" ht="15.5">
      <c r="A28" s="2" t="s">
        <v>28</v>
      </c>
      <c r="B28" s="5">
        <f t="shared" si="0"/>
        <v>89768.332500000004</v>
      </c>
      <c r="C28" s="2">
        <f>SUM(C13:C27)</f>
        <v>1077219.99</v>
      </c>
    </row>
    <row r="29" spans="1:3" ht="23" customHeight="1">
      <c r="A29" s="2" t="s">
        <v>29</v>
      </c>
      <c r="B29" s="1"/>
      <c r="C29" s="2"/>
    </row>
    <row r="30" spans="1:3" ht="37" customHeight="1">
      <c r="A30" s="2" t="s">
        <v>30</v>
      </c>
      <c r="B30" s="1"/>
      <c r="C30" s="2">
        <v>14076.9</v>
      </c>
    </row>
    <row r="31" spans="1:3" ht="50.5" customHeight="1">
      <c r="A31" s="3" t="s">
        <v>31</v>
      </c>
      <c r="B31" s="1"/>
      <c r="C31" s="1">
        <v>148756.29</v>
      </c>
    </row>
    <row r="32" spans="1:3" ht="62" hidden="1">
      <c r="A32" s="3" t="s">
        <v>32</v>
      </c>
      <c r="B32" s="1"/>
      <c r="C32" s="1"/>
    </row>
    <row r="33" spans="1:3" ht="41.5" customHeight="1">
      <c r="A33" s="2" t="s">
        <v>33</v>
      </c>
      <c r="B33" s="2"/>
      <c r="C33" s="2">
        <v>-162833.19</v>
      </c>
    </row>
    <row r="34" spans="1:3" ht="40" customHeight="1">
      <c r="A34" s="1" t="s">
        <v>34</v>
      </c>
      <c r="B34" s="1"/>
      <c r="C34" s="1"/>
    </row>
    <row r="35" spans="1:3" ht="33" customHeight="1">
      <c r="A35" s="1" t="s">
        <v>35</v>
      </c>
      <c r="B35" s="1"/>
      <c r="C35" s="1"/>
    </row>
    <row r="36" spans="1:3" ht="31.5" customHeight="1">
      <c r="A36" s="1" t="s">
        <v>64</v>
      </c>
      <c r="B36" s="1"/>
      <c r="C36" s="1"/>
    </row>
    <row r="37" spans="1:3" ht="15.5">
      <c r="A37" s="1" t="s">
        <v>36</v>
      </c>
      <c r="B37" s="1"/>
      <c r="C37" s="1"/>
    </row>
  </sheetData>
  <pageMargins left="0.7" right="0.7" top="0.75" bottom="0.75" header="0.3" footer="0.3"/>
  <pageSetup paperSize="9" orientation="portrait" verticalDpi="0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C37"/>
  <sheetViews>
    <sheetView workbookViewId="0">
      <selection activeCell="C10" sqref="C10"/>
    </sheetView>
  </sheetViews>
  <sheetFormatPr defaultRowHeight="14.5"/>
  <cols>
    <col min="1" max="1" width="50.7265625" customWidth="1"/>
    <col min="2" max="2" width="15.6328125" customWidth="1"/>
    <col min="3" max="3" width="15.453125" customWidth="1"/>
  </cols>
  <sheetData>
    <row r="1" spans="1:3" ht="15.5">
      <c r="A1" s="1" t="s">
        <v>0</v>
      </c>
      <c r="B1" s="1"/>
      <c r="C1" s="1"/>
    </row>
    <row r="2" spans="1:3" ht="15.5">
      <c r="A2" s="1" t="s">
        <v>98</v>
      </c>
      <c r="B2" s="1" t="s">
        <v>97</v>
      </c>
      <c r="C2" s="1"/>
    </row>
    <row r="3" spans="1:3" ht="15.5">
      <c r="A3" s="1" t="s">
        <v>3</v>
      </c>
      <c r="B3" s="1"/>
      <c r="C3" s="1"/>
    </row>
    <row r="4" spans="1:3" ht="15.5">
      <c r="A4" s="1" t="s">
        <v>4</v>
      </c>
      <c r="B4" s="1"/>
      <c r="C4" s="1"/>
    </row>
    <row r="5" spans="1:3" ht="15.5">
      <c r="A5" s="1" t="s">
        <v>116</v>
      </c>
      <c r="B5" s="1"/>
      <c r="C5" s="1"/>
    </row>
    <row r="6" spans="1:3" ht="15.5">
      <c r="A6" s="1"/>
      <c r="B6" s="1"/>
      <c r="C6" s="1"/>
    </row>
    <row r="7" spans="1:3" ht="15.5">
      <c r="A7" s="1" t="s">
        <v>5</v>
      </c>
      <c r="B7" s="1" t="s">
        <v>6</v>
      </c>
      <c r="C7" s="1" t="s">
        <v>7</v>
      </c>
    </row>
    <row r="8" spans="1:3" ht="15.5">
      <c r="A8" s="2" t="s">
        <v>8</v>
      </c>
      <c r="B8" s="1"/>
      <c r="C8" s="2">
        <v>-111777.62</v>
      </c>
    </row>
    <row r="9" spans="1:3" ht="31">
      <c r="A9" s="3" t="s">
        <v>9</v>
      </c>
      <c r="B9" s="5">
        <f>C9/12</f>
        <v>43622.674166666671</v>
      </c>
      <c r="C9" s="1">
        <v>523472.09</v>
      </c>
    </row>
    <row r="10" spans="1:3" ht="46.5">
      <c r="A10" s="3" t="s">
        <v>10</v>
      </c>
      <c r="B10" s="5">
        <f t="shared" ref="B10:B28" si="0">C10/12</f>
        <v>4911.6925000000001</v>
      </c>
      <c r="C10" s="1">
        <f>17860+41080.31</f>
        <v>58940.31</v>
      </c>
    </row>
    <row r="11" spans="1:3" ht="15.5">
      <c r="A11" s="2" t="s">
        <v>11</v>
      </c>
      <c r="B11" s="5">
        <f t="shared" si="0"/>
        <v>48534.366666666669</v>
      </c>
      <c r="C11" s="2">
        <f>SUM(C9:C10)</f>
        <v>582412.4</v>
      </c>
    </row>
    <row r="12" spans="1:3" ht="15.5">
      <c r="A12" s="2" t="s">
        <v>12</v>
      </c>
      <c r="B12" s="5">
        <f t="shared" si="0"/>
        <v>0</v>
      </c>
      <c r="C12" s="1"/>
    </row>
    <row r="13" spans="1:3" ht="77.5">
      <c r="A13" s="3" t="s">
        <v>13</v>
      </c>
      <c r="B13" s="5">
        <f t="shared" si="0"/>
        <v>11875.970000000001</v>
      </c>
      <c r="C13" s="1">
        <f>116694.78+25816.86</f>
        <v>142511.64000000001</v>
      </c>
    </row>
    <row r="14" spans="1:3" ht="62">
      <c r="A14" s="3" t="s">
        <v>14</v>
      </c>
      <c r="B14" s="5">
        <f t="shared" si="0"/>
        <v>10878.303333333333</v>
      </c>
      <c r="C14" s="1">
        <f>31988.84+98550.8</f>
        <v>130539.64</v>
      </c>
    </row>
    <row r="15" spans="1:3" ht="46.5">
      <c r="A15" s="3" t="s">
        <v>15</v>
      </c>
      <c r="B15" s="5">
        <f t="shared" si="0"/>
        <v>0</v>
      </c>
      <c r="C15" s="1"/>
    </row>
    <row r="16" spans="1:3" ht="15.5">
      <c r="A16" s="1" t="s">
        <v>16</v>
      </c>
      <c r="B16" s="5">
        <f t="shared" si="0"/>
        <v>1033.25</v>
      </c>
      <c r="C16" s="1">
        <v>12399</v>
      </c>
    </row>
    <row r="17" spans="1:3" ht="15.5">
      <c r="A17" s="1" t="s">
        <v>17</v>
      </c>
      <c r="B17" s="5">
        <f t="shared" si="0"/>
        <v>1680.22</v>
      </c>
      <c r="C17" s="1">
        <v>20162.64</v>
      </c>
    </row>
    <row r="18" spans="1:3" ht="15.5">
      <c r="A18" s="1" t="s">
        <v>18</v>
      </c>
      <c r="B18" s="5">
        <f t="shared" si="0"/>
        <v>311.00666666666666</v>
      </c>
      <c r="C18" s="1">
        <v>3732.08</v>
      </c>
    </row>
    <row r="19" spans="1:3" ht="15.5">
      <c r="A19" s="1" t="s">
        <v>19</v>
      </c>
      <c r="B19" s="5">
        <f t="shared" si="0"/>
        <v>0</v>
      </c>
      <c r="C19" s="1"/>
    </row>
    <row r="20" spans="1:3" ht="15.5">
      <c r="A20" s="1" t="s">
        <v>20</v>
      </c>
      <c r="B20" s="5">
        <f t="shared" si="0"/>
        <v>869.85249999999996</v>
      </c>
      <c r="C20" s="1">
        <v>10438.23</v>
      </c>
    </row>
    <row r="21" spans="1:3" ht="15.5">
      <c r="A21" s="1" t="s">
        <v>21</v>
      </c>
      <c r="B21" s="5">
        <f t="shared" si="0"/>
        <v>1057.4816666666668</v>
      </c>
      <c r="C21" s="1">
        <v>12689.78</v>
      </c>
    </row>
    <row r="22" spans="1:3" ht="15.5">
      <c r="A22" s="1" t="s">
        <v>22</v>
      </c>
      <c r="B22" s="5">
        <f t="shared" si="0"/>
        <v>4137.4808333333331</v>
      </c>
      <c r="C22" s="1">
        <v>49649.77</v>
      </c>
    </row>
    <row r="23" spans="1:3" ht="15.5">
      <c r="A23" s="1" t="s">
        <v>23</v>
      </c>
      <c r="B23" s="5">
        <f t="shared" si="0"/>
        <v>458.41416666666669</v>
      </c>
      <c r="C23" s="1">
        <v>5500.97</v>
      </c>
    </row>
    <row r="24" spans="1:3" ht="15.5">
      <c r="A24" s="1" t="s">
        <v>24</v>
      </c>
      <c r="B24" s="5">
        <f t="shared" si="0"/>
        <v>2886.2649999999999</v>
      </c>
      <c r="C24" s="1">
        <v>34635.18</v>
      </c>
    </row>
    <row r="25" spans="1:3" ht="15.5">
      <c r="A25" s="1" t="s">
        <v>25</v>
      </c>
      <c r="B25" s="5">
        <f t="shared" si="0"/>
        <v>266.0983333333333</v>
      </c>
      <c r="C25" s="1">
        <v>3193.18</v>
      </c>
    </row>
    <row r="26" spans="1:3" ht="15.5">
      <c r="A26" s="1" t="s">
        <v>26</v>
      </c>
      <c r="B26" s="5">
        <f t="shared" si="0"/>
        <v>0</v>
      </c>
      <c r="C26" s="1"/>
    </row>
    <row r="27" spans="1:3" ht="15.5">
      <c r="A27" s="1" t="s">
        <v>27</v>
      </c>
      <c r="B27" s="5">
        <f t="shared" si="0"/>
        <v>9408.6175000000003</v>
      </c>
      <c r="C27" s="1">
        <v>112903.41</v>
      </c>
    </row>
    <row r="28" spans="1:3" ht="19" customHeight="1">
      <c r="A28" s="2" t="s">
        <v>28</v>
      </c>
      <c r="B28" s="5">
        <f t="shared" si="0"/>
        <v>44862.96</v>
      </c>
      <c r="C28" s="2">
        <f>SUM(C13:C27)</f>
        <v>538355.52</v>
      </c>
    </row>
    <row r="29" spans="1:3" ht="33" customHeight="1">
      <c r="A29" s="2" t="s">
        <v>29</v>
      </c>
      <c r="B29" s="1"/>
      <c r="C29" s="2"/>
    </row>
    <row r="30" spans="1:3" ht="31.5" customHeight="1">
      <c r="A30" s="2" t="s">
        <v>30</v>
      </c>
      <c r="B30" s="1"/>
      <c r="C30" s="2">
        <v>67720.740000000005</v>
      </c>
    </row>
    <row r="31" spans="1:3" ht="45.5" customHeight="1">
      <c r="A31" s="3" t="s">
        <v>31</v>
      </c>
      <c r="B31" s="1"/>
      <c r="C31" s="1">
        <v>43121.23</v>
      </c>
    </row>
    <row r="32" spans="1:3" ht="1" customHeight="1">
      <c r="A32" s="3" t="s">
        <v>32</v>
      </c>
      <c r="B32" s="1"/>
      <c r="C32" s="1"/>
    </row>
    <row r="33" spans="1:3" ht="32.5" customHeight="1">
      <c r="A33" s="2" t="s">
        <v>33</v>
      </c>
      <c r="B33" s="2"/>
      <c r="C33" s="2">
        <v>-110841.97</v>
      </c>
    </row>
    <row r="34" spans="1:3" ht="42" customHeight="1">
      <c r="A34" s="1" t="s">
        <v>34</v>
      </c>
      <c r="B34" s="1"/>
      <c r="C34" s="1"/>
    </row>
    <row r="35" spans="1:3" ht="37" customHeight="1">
      <c r="A35" s="1" t="s">
        <v>35</v>
      </c>
      <c r="B35" s="1"/>
      <c r="C35" s="1"/>
    </row>
    <row r="36" spans="1:3" ht="32" customHeight="1">
      <c r="A36" s="1" t="s">
        <v>64</v>
      </c>
      <c r="B36" s="1"/>
      <c r="C36" s="1"/>
    </row>
    <row r="37" spans="1:3" ht="15.5">
      <c r="A37" s="1" t="s">
        <v>36</v>
      </c>
      <c r="B37" s="1"/>
      <c r="C37" s="1"/>
    </row>
  </sheetData>
  <pageMargins left="0.7" right="0.7" top="0.75" bottom="0.75" header="0.3" footer="0.3"/>
  <pageSetup paperSize="9" orientation="portrait" verticalDpi="0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C37"/>
  <sheetViews>
    <sheetView workbookViewId="0">
      <selection activeCell="C10" sqref="C10"/>
    </sheetView>
  </sheetViews>
  <sheetFormatPr defaultRowHeight="14.5"/>
  <cols>
    <col min="1" max="1" width="49.1796875" customWidth="1"/>
    <col min="2" max="2" width="16.81640625" customWidth="1"/>
    <col min="3" max="3" width="14.6328125" customWidth="1"/>
  </cols>
  <sheetData>
    <row r="1" spans="1:3" ht="15.5">
      <c r="A1" s="1" t="s">
        <v>0</v>
      </c>
      <c r="B1" s="1"/>
      <c r="C1" s="1"/>
    </row>
    <row r="2" spans="1:3" ht="15.5">
      <c r="A2" s="1" t="s">
        <v>99</v>
      </c>
      <c r="B2" s="1" t="s">
        <v>97</v>
      </c>
      <c r="C2" s="1"/>
    </row>
    <row r="3" spans="1:3" ht="15.5">
      <c r="A3" s="1" t="s">
        <v>3</v>
      </c>
      <c r="B3" s="1"/>
      <c r="C3" s="1"/>
    </row>
    <row r="4" spans="1:3" ht="15.5">
      <c r="A4" s="1" t="s">
        <v>4</v>
      </c>
      <c r="B4" s="1"/>
      <c r="C4" s="1"/>
    </row>
    <row r="5" spans="1:3" ht="15.5">
      <c r="A5" s="1" t="s">
        <v>116</v>
      </c>
      <c r="B5" s="1"/>
      <c r="C5" s="1"/>
    </row>
    <row r="6" spans="1:3" ht="15.5">
      <c r="A6" s="1"/>
      <c r="B6" s="1"/>
      <c r="C6" s="1"/>
    </row>
    <row r="7" spans="1:3" ht="15.5">
      <c r="A7" s="1" t="s">
        <v>5</v>
      </c>
      <c r="B7" s="1" t="s">
        <v>6</v>
      </c>
      <c r="C7" s="1" t="s">
        <v>7</v>
      </c>
    </row>
    <row r="8" spans="1:3" ht="15.5">
      <c r="A8" s="2" t="s">
        <v>8</v>
      </c>
      <c r="B8" s="1"/>
      <c r="C8" s="2">
        <v>-137168.64000000001</v>
      </c>
    </row>
    <row r="9" spans="1:3" ht="31">
      <c r="A9" s="3" t="s">
        <v>9</v>
      </c>
      <c r="B9" s="5">
        <f>C9/12</f>
        <v>36020.393333333333</v>
      </c>
      <c r="C9" s="1">
        <v>432244.72</v>
      </c>
    </row>
    <row r="10" spans="1:3" ht="46.5">
      <c r="A10" s="3" t="s">
        <v>10</v>
      </c>
      <c r="B10" s="5">
        <f t="shared" ref="B10:B28" si="0">C10/12</f>
        <v>13265.735833333332</v>
      </c>
      <c r="C10" s="1">
        <f>17860+141328.83</f>
        <v>159188.82999999999</v>
      </c>
    </row>
    <row r="11" spans="1:3" ht="15.5">
      <c r="A11" s="2" t="s">
        <v>11</v>
      </c>
      <c r="B11" s="5">
        <f t="shared" si="0"/>
        <v>49286.129166666658</v>
      </c>
      <c r="C11" s="2">
        <f>SUM(C9:C10)</f>
        <v>591433.54999999993</v>
      </c>
    </row>
    <row r="12" spans="1:3" ht="15.5">
      <c r="A12" s="2" t="s">
        <v>12</v>
      </c>
      <c r="B12" s="5">
        <f t="shared" si="0"/>
        <v>0</v>
      </c>
      <c r="C12" s="1"/>
    </row>
    <row r="13" spans="1:3" ht="77.5">
      <c r="A13" s="3" t="s">
        <v>13</v>
      </c>
      <c r="B13" s="5">
        <f t="shared" si="0"/>
        <v>13528.006666666666</v>
      </c>
      <c r="C13" s="1">
        <f>132939.18+29396.9</f>
        <v>162336.07999999999</v>
      </c>
    </row>
    <row r="14" spans="1:3" ht="62">
      <c r="A14" s="3" t="s">
        <v>14</v>
      </c>
      <c r="B14" s="5">
        <f t="shared" si="0"/>
        <v>8333.8950000000004</v>
      </c>
      <c r="C14" s="1">
        <f>29954.78+70051.96</f>
        <v>100006.74</v>
      </c>
    </row>
    <row r="15" spans="1:3" ht="46.5">
      <c r="A15" s="3" t="s">
        <v>15</v>
      </c>
      <c r="B15" s="5">
        <f t="shared" si="0"/>
        <v>0</v>
      </c>
      <c r="C15" s="1"/>
    </row>
    <row r="16" spans="1:3" ht="15.5">
      <c r="A16" s="1" t="s">
        <v>16</v>
      </c>
      <c r="B16" s="5">
        <f t="shared" si="0"/>
        <v>10375.083333333334</v>
      </c>
      <c r="C16" s="1">
        <v>124501</v>
      </c>
    </row>
    <row r="17" spans="1:3" ht="15.5">
      <c r="A17" s="1" t="s">
        <v>17</v>
      </c>
      <c r="B17" s="5">
        <f t="shared" si="0"/>
        <v>1879.96</v>
      </c>
      <c r="C17" s="1">
        <v>22559.52</v>
      </c>
    </row>
    <row r="18" spans="1:3" ht="15.5">
      <c r="A18" s="1" t="s">
        <v>18</v>
      </c>
      <c r="B18" s="5">
        <f t="shared" si="0"/>
        <v>32.18</v>
      </c>
      <c r="C18" s="1">
        <v>386.16</v>
      </c>
    </row>
    <row r="19" spans="1:3" ht="15.5">
      <c r="A19" s="1" t="s">
        <v>19</v>
      </c>
      <c r="B19" s="5">
        <f t="shared" si="0"/>
        <v>0</v>
      </c>
      <c r="C19" s="1"/>
    </row>
    <row r="20" spans="1:3" ht="15.5">
      <c r="A20" s="1" t="s">
        <v>20</v>
      </c>
      <c r="B20" s="5">
        <f t="shared" si="0"/>
        <v>764.06</v>
      </c>
      <c r="C20" s="1">
        <v>9168.7199999999993</v>
      </c>
    </row>
    <row r="21" spans="1:3" ht="15.5">
      <c r="A21" s="1" t="s">
        <v>21</v>
      </c>
      <c r="B21" s="5">
        <f t="shared" si="0"/>
        <v>1059.9575</v>
      </c>
      <c r="C21" s="1">
        <v>12719.49</v>
      </c>
    </row>
    <row r="22" spans="1:3" ht="15.5">
      <c r="A22" s="1" t="s">
        <v>22</v>
      </c>
      <c r="B22" s="5">
        <f t="shared" si="0"/>
        <v>4688.5050000000001</v>
      </c>
      <c r="C22" s="1">
        <v>56262.06</v>
      </c>
    </row>
    <row r="23" spans="1:3" ht="15.5">
      <c r="A23" s="1" t="s">
        <v>23</v>
      </c>
      <c r="B23" s="5">
        <f t="shared" si="0"/>
        <v>77.825833333333335</v>
      </c>
      <c r="C23" s="1">
        <v>933.91</v>
      </c>
    </row>
    <row r="24" spans="1:3" ht="15.5">
      <c r="A24" s="1" t="s">
        <v>24</v>
      </c>
      <c r="B24" s="5">
        <f t="shared" si="0"/>
        <v>2930.9708333333333</v>
      </c>
      <c r="C24" s="1">
        <v>35171.65</v>
      </c>
    </row>
    <row r="25" spans="1:3" ht="15.5">
      <c r="A25" s="1" t="s">
        <v>25</v>
      </c>
      <c r="B25" s="5">
        <f t="shared" si="0"/>
        <v>265.435</v>
      </c>
      <c r="C25" s="1">
        <v>3185.22</v>
      </c>
    </row>
    <row r="26" spans="1:3" ht="15.5">
      <c r="A26" s="1" t="s">
        <v>26</v>
      </c>
      <c r="B26" s="5">
        <f t="shared" si="0"/>
        <v>0</v>
      </c>
      <c r="C26" s="1"/>
    </row>
    <row r="27" spans="1:3" ht="15.5">
      <c r="A27" s="1" t="s">
        <v>27</v>
      </c>
      <c r="B27" s="5">
        <f t="shared" si="0"/>
        <v>10661.644166666667</v>
      </c>
      <c r="C27" s="1">
        <v>127939.73</v>
      </c>
    </row>
    <row r="28" spans="1:3" ht="15.5">
      <c r="A28" s="2" t="s">
        <v>28</v>
      </c>
      <c r="B28" s="5">
        <f t="shared" si="0"/>
        <v>54597.523333333324</v>
      </c>
      <c r="C28" s="2">
        <f>SUM(C13:C27)</f>
        <v>655170.27999999991</v>
      </c>
    </row>
    <row r="29" spans="1:3" ht="23.5" customHeight="1">
      <c r="A29" s="2" t="s">
        <v>29</v>
      </c>
      <c r="B29" s="1"/>
      <c r="C29" s="2"/>
    </row>
    <row r="30" spans="1:3" ht="30" customHeight="1">
      <c r="A30" s="2" t="s">
        <v>30</v>
      </c>
      <c r="B30" s="1"/>
      <c r="C30" s="2">
        <v>200905.37</v>
      </c>
    </row>
    <row r="31" spans="1:3" ht="36" customHeight="1">
      <c r="A31" s="3" t="s">
        <v>31</v>
      </c>
      <c r="B31" s="1"/>
      <c r="C31" s="1">
        <v>51201.14</v>
      </c>
    </row>
    <row r="32" spans="1:3" ht="0.5" customHeight="1">
      <c r="A32" s="3" t="s">
        <v>32</v>
      </c>
      <c r="B32" s="1"/>
      <c r="C32" s="1">
        <v>252106.51</v>
      </c>
    </row>
    <row r="33" spans="1:3" ht="26.5" customHeight="1">
      <c r="A33" s="2" t="s">
        <v>33</v>
      </c>
      <c r="B33" s="2"/>
      <c r="C33" s="2">
        <v>-252106.51</v>
      </c>
    </row>
    <row r="34" spans="1:3" ht="35" customHeight="1">
      <c r="A34" s="1" t="s">
        <v>34</v>
      </c>
      <c r="B34" s="1"/>
      <c r="C34" s="1"/>
    </row>
    <row r="35" spans="1:3" ht="38" customHeight="1">
      <c r="A35" s="1" t="s">
        <v>35</v>
      </c>
      <c r="B35" s="1"/>
      <c r="C35" s="1"/>
    </row>
    <row r="36" spans="1:3" ht="27.5" customHeight="1">
      <c r="A36" s="1" t="s">
        <v>64</v>
      </c>
      <c r="B36" s="1"/>
      <c r="C36" s="1"/>
    </row>
    <row r="37" spans="1:3" ht="23.5" customHeight="1">
      <c r="A37" s="1" t="s">
        <v>36</v>
      </c>
      <c r="B37" s="1"/>
      <c r="C37" s="1"/>
    </row>
  </sheetData>
  <pageMargins left="0.7" right="0.7" top="0.75" bottom="0.75" header="0.3" footer="0.3"/>
  <pageSetup paperSize="9" orientation="portrait" verticalDpi="0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C37"/>
  <sheetViews>
    <sheetView topLeftCell="A25" workbookViewId="0">
      <selection activeCell="C34" sqref="C34"/>
    </sheetView>
  </sheetViews>
  <sheetFormatPr defaultRowHeight="14.5"/>
  <cols>
    <col min="1" max="1" width="46.26953125" customWidth="1"/>
    <col min="2" max="2" width="15.6328125" customWidth="1"/>
    <col min="3" max="3" width="15.1796875" customWidth="1"/>
  </cols>
  <sheetData>
    <row r="1" spans="1:3" ht="15.5">
      <c r="A1" s="1" t="s">
        <v>0</v>
      </c>
      <c r="B1" s="1"/>
      <c r="C1" s="1"/>
    </row>
    <row r="2" spans="1:3" ht="15.5">
      <c r="A2" s="1" t="s">
        <v>100</v>
      </c>
      <c r="B2" s="1" t="s">
        <v>97</v>
      </c>
      <c r="C2" s="1"/>
    </row>
    <row r="3" spans="1:3" ht="15.5">
      <c r="A3" s="1" t="s">
        <v>3</v>
      </c>
      <c r="B3" s="1"/>
      <c r="C3" s="1"/>
    </row>
    <row r="4" spans="1:3" ht="15.5">
      <c r="A4" s="1" t="s">
        <v>4</v>
      </c>
      <c r="B4" s="1"/>
      <c r="C4" s="1"/>
    </row>
    <row r="5" spans="1:3" ht="15.5">
      <c r="A5" s="1" t="s">
        <v>116</v>
      </c>
      <c r="B5" s="1"/>
      <c r="C5" s="1"/>
    </row>
    <row r="6" spans="1:3" ht="15.5">
      <c r="A6" s="1"/>
      <c r="B6" s="1"/>
      <c r="C6" s="1"/>
    </row>
    <row r="7" spans="1:3" ht="15.5">
      <c r="A7" s="1" t="s">
        <v>5</v>
      </c>
      <c r="B7" s="1" t="s">
        <v>6</v>
      </c>
      <c r="C7" s="1" t="s">
        <v>7</v>
      </c>
    </row>
    <row r="8" spans="1:3" ht="15.5">
      <c r="A8" s="2" t="s">
        <v>8</v>
      </c>
      <c r="B8" s="1"/>
      <c r="C8" s="2">
        <v>-13051.13</v>
      </c>
    </row>
    <row r="9" spans="1:3" ht="30" customHeight="1">
      <c r="A9" s="3" t="s">
        <v>9</v>
      </c>
      <c r="B9" s="5"/>
      <c r="C9" s="1">
        <f>428000.83</f>
        <v>428000.83</v>
      </c>
    </row>
    <row r="10" spans="1:3" ht="46.5">
      <c r="A10" s="3" t="s">
        <v>10</v>
      </c>
      <c r="B10" s="5">
        <f t="shared" ref="B10:B28" si="0">C10/12</f>
        <v>1759.5833333333333</v>
      </c>
      <c r="C10" s="1">
        <v>21115</v>
      </c>
    </row>
    <row r="11" spans="1:3" ht="15.5">
      <c r="A11" s="2" t="s">
        <v>11</v>
      </c>
      <c r="B11" s="5">
        <f t="shared" si="0"/>
        <v>37426.319166666668</v>
      </c>
      <c r="C11" s="2">
        <f>SUM(C9:C10)</f>
        <v>449115.83</v>
      </c>
    </row>
    <row r="12" spans="1:3" ht="15.5">
      <c r="A12" s="2" t="s">
        <v>12</v>
      </c>
      <c r="B12" s="5">
        <f t="shared" si="0"/>
        <v>0</v>
      </c>
      <c r="C12" s="1"/>
    </row>
    <row r="13" spans="1:3" ht="77.5">
      <c r="A13" s="3" t="s">
        <v>13</v>
      </c>
      <c r="B13" s="5">
        <f t="shared" si="0"/>
        <v>9465.5650000000005</v>
      </c>
      <c r="C13" s="1">
        <f>93009.9+20576.88</f>
        <v>113586.78</v>
      </c>
    </row>
    <row r="14" spans="1:3" ht="77.5">
      <c r="A14" s="3" t="s">
        <v>14</v>
      </c>
      <c r="B14" s="5">
        <f t="shared" si="0"/>
        <v>6953.9366666666674</v>
      </c>
      <c r="C14" s="1">
        <f>23336.48+60110.76</f>
        <v>83447.240000000005</v>
      </c>
    </row>
    <row r="15" spans="1:3" ht="46.5">
      <c r="A15" s="3" t="s">
        <v>15</v>
      </c>
      <c r="B15" s="5">
        <f t="shared" si="0"/>
        <v>0</v>
      </c>
      <c r="C15" s="1"/>
    </row>
    <row r="16" spans="1:3" ht="15.5">
      <c r="A16" s="1" t="s">
        <v>16</v>
      </c>
      <c r="B16" s="5">
        <f t="shared" si="0"/>
        <v>2064.25</v>
      </c>
      <c r="C16" s="1">
        <v>24771</v>
      </c>
    </row>
    <row r="17" spans="1:3" ht="15.5">
      <c r="A17" s="1" t="s">
        <v>17</v>
      </c>
      <c r="B17" s="5">
        <f t="shared" si="0"/>
        <v>1330.68</v>
      </c>
      <c r="C17" s="1">
        <v>15968.16</v>
      </c>
    </row>
    <row r="18" spans="1:3" ht="15.5">
      <c r="A18" s="1" t="s">
        <v>18</v>
      </c>
      <c r="B18" s="5">
        <f t="shared" si="0"/>
        <v>100.8</v>
      </c>
      <c r="C18" s="1">
        <v>1209.5999999999999</v>
      </c>
    </row>
    <row r="19" spans="1:3" ht="15.5">
      <c r="A19" s="1" t="s">
        <v>19</v>
      </c>
      <c r="B19" s="5">
        <f t="shared" si="0"/>
        <v>0</v>
      </c>
      <c r="C19" s="1"/>
    </row>
    <row r="20" spans="1:3" ht="15.5">
      <c r="A20" s="1" t="s">
        <v>20</v>
      </c>
      <c r="B20" s="5">
        <f t="shared" si="0"/>
        <v>587.73833333333334</v>
      </c>
      <c r="C20" s="1">
        <v>7052.86</v>
      </c>
    </row>
    <row r="21" spans="1:3" ht="15.5">
      <c r="A21" s="1" t="s">
        <v>21</v>
      </c>
      <c r="B21" s="5">
        <f t="shared" si="0"/>
        <v>819.0675</v>
      </c>
      <c r="C21" s="1">
        <v>9828.81</v>
      </c>
    </row>
    <row r="22" spans="1:3" ht="15.5">
      <c r="A22" s="1" t="s">
        <v>22</v>
      </c>
      <c r="B22" s="5">
        <f t="shared" si="0"/>
        <v>3321.4516666666664</v>
      </c>
      <c r="C22" s="1">
        <v>39857.42</v>
      </c>
    </row>
    <row r="23" spans="1:3" ht="15.5">
      <c r="A23" s="1" t="s">
        <v>23</v>
      </c>
      <c r="B23" s="5">
        <f t="shared" si="0"/>
        <v>449.16</v>
      </c>
      <c r="C23" s="1">
        <v>5389.92</v>
      </c>
    </row>
    <row r="24" spans="1:3" ht="15.5">
      <c r="A24" s="1" t="s">
        <v>24</v>
      </c>
      <c r="B24" s="5">
        <f t="shared" si="0"/>
        <v>2228.8708333333334</v>
      </c>
      <c r="C24" s="1">
        <v>26746.45</v>
      </c>
    </row>
    <row r="25" spans="1:3" ht="15.5">
      <c r="A25" s="1" t="s">
        <v>25</v>
      </c>
      <c r="B25" s="5">
        <f t="shared" si="0"/>
        <v>187.00166666666667</v>
      </c>
      <c r="C25" s="1">
        <v>2244.02</v>
      </c>
    </row>
    <row r="26" spans="1:3" ht="15.5">
      <c r="A26" s="1" t="s">
        <v>26</v>
      </c>
      <c r="B26" s="5">
        <f t="shared" si="0"/>
        <v>0</v>
      </c>
      <c r="C26" s="1"/>
    </row>
    <row r="27" spans="1:3" ht="15.5">
      <c r="A27" s="1" t="s">
        <v>27</v>
      </c>
      <c r="B27" s="5">
        <f t="shared" si="0"/>
        <v>7552.9691666666668</v>
      </c>
      <c r="C27" s="1">
        <v>90635.63</v>
      </c>
    </row>
    <row r="28" spans="1:3" ht="15.5">
      <c r="A28" s="2" t="s">
        <v>28</v>
      </c>
      <c r="B28" s="5">
        <f t="shared" si="0"/>
        <v>35061.490833333337</v>
      </c>
      <c r="C28" s="2">
        <f>SUM(C13:C27)</f>
        <v>420737.89</v>
      </c>
    </row>
    <row r="29" spans="1:3" ht="21.5" customHeight="1">
      <c r="A29" s="2" t="s">
        <v>29</v>
      </c>
      <c r="B29" s="1"/>
      <c r="C29" s="2">
        <v>15326.81</v>
      </c>
    </row>
    <row r="30" spans="1:3" ht="28.5" customHeight="1">
      <c r="A30" s="2" t="s">
        <v>30</v>
      </c>
      <c r="B30" s="1"/>
      <c r="C30" s="2"/>
    </row>
    <row r="31" spans="1:3" ht="45.5" customHeight="1">
      <c r="A31" s="3" t="s">
        <v>31</v>
      </c>
      <c r="B31" s="1"/>
      <c r="C31" s="1">
        <v>192534.9</v>
      </c>
    </row>
    <row r="32" spans="1:3" ht="0.5" customHeight="1">
      <c r="A32" s="3" t="s">
        <v>32</v>
      </c>
      <c r="B32" s="1"/>
      <c r="C32" s="1"/>
    </row>
    <row r="33" spans="1:3" ht="22" customHeight="1">
      <c r="A33" s="2" t="s">
        <v>33</v>
      </c>
      <c r="B33" s="2"/>
      <c r="C33" s="2">
        <v>-177208.09</v>
      </c>
    </row>
    <row r="34" spans="1:3" ht="42" customHeight="1">
      <c r="A34" s="1" t="s">
        <v>34</v>
      </c>
      <c r="B34" s="1"/>
      <c r="C34" s="1"/>
    </row>
    <row r="35" spans="1:3" ht="36" customHeight="1">
      <c r="A35" s="1" t="s">
        <v>35</v>
      </c>
      <c r="B35" s="1"/>
      <c r="C35" s="1"/>
    </row>
    <row r="36" spans="1:3" ht="38" customHeight="1">
      <c r="A36" s="1" t="s">
        <v>64</v>
      </c>
      <c r="B36" s="1"/>
      <c r="C36" s="1"/>
    </row>
    <row r="37" spans="1:3" ht="15.5">
      <c r="A37" s="1" t="s">
        <v>36</v>
      </c>
      <c r="B37" s="1"/>
      <c r="C37" s="1"/>
    </row>
  </sheetData>
  <pageMargins left="0.7" right="0.7" top="0.75" bottom="0.75" header="0.3" footer="0.3"/>
  <pageSetup paperSize="9" orientation="portrait" verticalDpi="0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C37"/>
  <sheetViews>
    <sheetView topLeftCell="A4" workbookViewId="0">
      <selection activeCell="C34" sqref="C34"/>
    </sheetView>
  </sheetViews>
  <sheetFormatPr defaultRowHeight="14.5"/>
  <cols>
    <col min="1" max="1" width="49.08984375" customWidth="1"/>
    <col min="2" max="2" width="18.08984375" customWidth="1"/>
    <col min="3" max="3" width="14.6328125" customWidth="1"/>
  </cols>
  <sheetData>
    <row r="1" spans="1:3" ht="15.5">
      <c r="A1" s="1" t="s">
        <v>0</v>
      </c>
      <c r="B1" s="1"/>
      <c r="C1" s="1"/>
    </row>
    <row r="2" spans="1:3" ht="15.5">
      <c r="A2" s="1" t="s">
        <v>101</v>
      </c>
      <c r="B2" s="1" t="s">
        <v>97</v>
      </c>
      <c r="C2" s="1"/>
    </row>
    <row r="3" spans="1:3" ht="15.5">
      <c r="A3" s="1" t="s">
        <v>3</v>
      </c>
      <c r="B3" s="1"/>
      <c r="C3" s="1"/>
    </row>
    <row r="4" spans="1:3" ht="15.5">
      <c r="A4" s="1" t="s">
        <v>4</v>
      </c>
      <c r="B4" s="1"/>
      <c r="C4" s="1"/>
    </row>
    <row r="5" spans="1:3" ht="15.5">
      <c r="A5" s="1" t="s">
        <v>116</v>
      </c>
      <c r="B5" s="1"/>
      <c r="C5" s="1"/>
    </row>
    <row r="6" spans="1:3" ht="15.5">
      <c r="A6" s="1"/>
      <c r="B6" s="1"/>
      <c r="C6" s="1"/>
    </row>
    <row r="7" spans="1:3" ht="15.5">
      <c r="A7" s="1" t="s">
        <v>5</v>
      </c>
      <c r="B7" s="1" t="s">
        <v>6</v>
      </c>
      <c r="C7" s="1" t="s">
        <v>7</v>
      </c>
    </row>
    <row r="8" spans="1:3" ht="15.5">
      <c r="A8" s="2" t="s">
        <v>8</v>
      </c>
      <c r="B8" s="1"/>
      <c r="C8" s="2">
        <v>115982.68</v>
      </c>
    </row>
    <row r="9" spans="1:3" ht="31">
      <c r="A9" s="3" t="s">
        <v>9</v>
      </c>
      <c r="B9" s="5">
        <f>C9/12</f>
        <v>49584.83833333334</v>
      </c>
      <c r="C9" s="1">
        <v>595018.06000000006</v>
      </c>
    </row>
    <row r="10" spans="1:3" ht="46.5">
      <c r="A10" s="3" t="s">
        <v>10</v>
      </c>
      <c r="B10" s="5">
        <f t="shared" ref="B10:B28" si="0">C10/12</f>
        <v>1676.25</v>
      </c>
      <c r="C10" s="1">
        <v>20115</v>
      </c>
    </row>
    <row r="11" spans="1:3" ht="15.5">
      <c r="A11" s="2" t="s">
        <v>11</v>
      </c>
      <c r="B11" s="5">
        <f t="shared" si="0"/>
        <v>51261.08833333334</v>
      </c>
      <c r="C11" s="2">
        <f>SUM(C9:C10)</f>
        <v>615133.06000000006</v>
      </c>
    </row>
    <row r="12" spans="1:3" ht="15.5">
      <c r="A12" s="2" t="s">
        <v>12</v>
      </c>
      <c r="B12" s="5">
        <f t="shared" si="0"/>
        <v>0</v>
      </c>
      <c r="C12" s="1"/>
    </row>
    <row r="13" spans="1:3" ht="77.5">
      <c r="A13" s="3" t="s">
        <v>13</v>
      </c>
      <c r="B13" s="5">
        <f t="shared" si="0"/>
        <v>12530.38</v>
      </c>
      <c r="C13" s="1">
        <f>123125.16+27239.4</f>
        <v>150364.56</v>
      </c>
    </row>
    <row r="14" spans="1:3" ht="62">
      <c r="A14" s="3" t="s">
        <v>14</v>
      </c>
      <c r="B14" s="5">
        <f t="shared" si="0"/>
        <v>8936.4716666666664</v>
      </c>
      <c r="C14" s="1">
        <f>38740.7+68496.96</f>
        <v>107237.66</v>
      </c>
    </row>
    <row r="15" spans="1:3" ht="46.5">
      <c r="A15" s="3" t="s">
        <v>15</v>
      </c>
      <c r="B15" s="5">
        <f t="shared" si="0"/>
        <v>0</v>
      </c>
      <c r="C15" s="1"/>
    </row>
    <row r="16" spans="1:3" ht="15.5">
      <c r="A16" s="1" t="s">
        <v>16</v>
      </c>
      <c r="B16" s="5">
        <f t="shared" si="0"/>
        <v>8697.5833333333339</v>
      </c>
      <c r="C16" s="1">
        <v>104371</v>
      </c>
    </row>
    <row r="17" spans="1:3" ht="15.5">
      <c r="A17" s="1" t="s">
        <v>17</v>
      </c>
      <c r="B17" s="5">
        <f t="shared" si="0"/>
        <v>1728.0600000000002</v>
      </c>
      <c r="C17" s="1">
        <v>20736.72</v>
      </c>
    </row>
    <row r="18" spans="1:3" ht="15.5">
      <c r="A18" s="1" t="s">
        <v>18</v>
      </c>
      <c r="B18" s="5">
        <f t="shared" si="0"/>
        <v>630.37666666666667</v>
      </c>
      <c r="C18" s="1">
        <v>7564.52</v>
      </c>
    </row>
    <row r="19" spans="1:3" ht="15.5">
      <c r="A19" s="1" t="s">
        <v>19</v>
      </c>
      <c r="B19" s="5">
        <f t="shared" si="0"/>
        <v>0</v>
      </c>
      <c r="C19" s="1"/>
    </row>
    <row r="20" spans="1:3" ht="15.5">
      <c r="A20" s="1" t="s">
        <v>20</v>
      </c>
      <c r="B20" s="5">
        <f t="shared" si="0"/>
        <v>940.38083333333327</v>
      </c>
      <c r="C20" s="1">
        <v>11284.57</v>
      </c>
    </row>
    <row r="21" spans="1:3" ht="15.5">
      <c r="A21" s="1" t="s">
        <v>21</v>
      </c>
      <c r="B21" s="5">
        <f t="shared" si="0"/>
        <v>1119.675</v>
      </c>
      <c r="C21" s="1">
        <v>13436.1</v>
      </c>
    </row>
    <row r="22" spans="1:3" ht="15.5">
      <c r="A22" s="1" t="s">
        <v>22</v>
      </c>
      <c r="B22" s="5">
        <f t="shared" si="0"/>
        <v>4310.6483333333335</v>
      </c>
      <c r="C22" s="1">
        <v>51727.78</v>
      </c>
    </row>
    <row r="23" spans="1:3" ht="15.5">
      <c r="A23" s="1" t="s">
        <v>23</v>
      </c>
      <c r="B23" s="5">
        <f t="shared" si="0"/>
        <v>1247.0416666666667</v>
      </c>
      <c r="C23" s="1">
        <v>14964.5</v>
      </c>
    </row>
    <row r="24" spans="1:3" ht="15.5">
      <c r="A24" s="1" t="s">
        <v>24</v>
      </c>
      <c r="B24" s="5">
        <f t="shared" si="0"/>
        <v>3048.4183333333331</v>
      </c>
      <c r="C24" s="1">
        <v>36581.019999999997</v>
      </c>
    </row>
    <row r="25" spans="1:3" ht="15.5">
      <c r="A25" s="1" t="s">
        <v>25</v>
      </c>
      <c r="B25" s="5">
        <f t="shared" si="0"/>
        <v>265.08166666666665</v>
      </c>
      <c r="C25" s="1">
        <v>3180.98</v>
      </c>
    </row>
    <row r="26" spans="1:3" ht="15.5">
      <c r="A26" s="1" t="s">
        <v>26</v>
      </c>
      <c r="B26" s="5">
        <f t="shared" si="0"/>
        <v>0</v>
      </c>
      <c r="C26" s="1"/>
    </row>
    <row r="27" spans="1:3" ht="15.5">
      <c r="A27" s="1" t="s">
        <v>27</v>
      </c>
      <c r="B27" s="5">
        <f t="shared" si="0"/>
        <v>9802.4</v>
      </c>
      <c r="C27" s="1">
        <v>117628.8</v>
      </c>
    </row>
    <row r="28" spans="1:3" ht="15.5">
      <c r="A28" s="2" t="s">
        <v>28</v>
      </c>
      <c r="B28" s="5">
        <f t="shared" si="0"/>
        <v>53256.517499999994</v>
      </c>
      <c r="C28" s="2">
        <f>SUM(C13:C27)</f>
        <v>639078.21</v>
      </c>
    </row>
    <row r="29" spans="1:3" ht="28.5" customHeight="1">
      <c r="A29" s="2" t="s">
        <v>29</v>
      </c>
      <c r="B29" s="1"/>
      <c r="C29" s="2">
        <v>92037.53</v>
      </c>
    </row>
    <row r="30" spans="1:3" ht="32.5" customHeight="1">
      <c r="A30" s="2" t="s">
        <v>30</v>
      </c>
      <c r="B30" s="1"/>
      <c r="C30" s="2"/>
    </row>
    <row r="31" spans="1:3" ht="35.5" customHeight="1">
      <c r="A31" s="3" t="s">
        <v>31</v>
      </c>
      <c r="B31" s="1"/>
      <c r="C31" s="1">
        <v>133994.34</v>
      </c>
    </row>
    <row r="32" spans="1:3" ht="1" customHeight="1">
      <c r="A32" s="3" t="s">
        <v>32</v>
      </c>
      <c r="B32" s="1"/>
      <c r="C32" s="1"/>
    </row>
    <row r="33" spans="1:3" ht="15.5">
      <c r="A33" s="2" t="s">
        <v>33</v>
      </c>
      <c r="B33" s="2"/>
      <c r="C33" s="2">
        <v>-41956.81</v>
      </c>
    </row>
    <row r="34" spans="1:3" ht="15.5">
      <c r="A34" s="1" t="s">
        <v>34</v>
      </c>
      <c r="B34" s="1"/>
      <c r="C34" s="1"/>
    </row>
    <row r="35" spans="1:3" ht="15.5">
      <c r="A35" s="1" t="s">
        <v>35</v>
      </c>
      <c r="B35" s="1"/>
      <c r="C35" s="1"/>
    </row>
    <row r="36" spans="1:3" ht="15.5">
      <c r="A36" s="1" t="s">
        <v>64</v>
      </c>
      <c r="B36" s="1"/>
      <c r="C36" s="1"/>
    </row>
    <row r="37" spans="1:3" ht="15.5">
      <c r="A37" s="1" t="s">
        <v>36</v>
      </c>
      <c r="B37" s="1"/>
      <c r="C37" s="1"/>
    </row>
  </sheetData>
  <pageMargins left="0.7" right="0.7" top="0.75" bottom="0.75" header="0.3" footer="0.3"/>
  <pageSetup paperSize="9" orientation="portrait" verticalDpi="0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C37"/>
  <sheetViews>
    <sheetView topLeftCell="A22" workbookViewId="0">
      <selection activeCell="C34" sqref="C34"/>
    </sheetView>
  </sheetViews>
  <sheetFormatPr defaultRowHeight="14.5"/>
  <cols>
    <col min="1" max="1" width="48" customWidth="1"/>
    <col min="2" max="2" width="14.54296875" customWidth="1"/>
    <col min="3" max="3" width="14.36328125" customWidth="1"/>
  </cols>
  <sheetData>
    <row r="1" spans="1:3" ht="15.5">
      <c r="A1" s="1" t="s">
        <v>0</v>
      </c>
      <c r="B1" s="1"/>
      <c r="C1" s="1"/>
    </row>
    <row r="2" spans="1:3" ht="15.5">
      <c r="A2" s="1" t="s">
        <v>102</v>
      </c>
      <c r="B2" s="1" t="s">
        <v>97</v>
      </c>
      <c r="C2" s="1"/>
    </row>
    <row r="3" spans="1:3" ht="15.5">
      <c r="A3" s="1" t="s">
        <v>3</v>
      </c>
      <c r="B3" s="1"/>
      <c r="C3" s="1"/>
    </row>
    <row r="4" spans="1:3" ht="15.5">
      <c r="A4" s="1" t="s">
        <v>4</v>
      </c>
      <c r="B4" s="1"/>
      <c r="C4" s="1"/>
    </row>
    <row r="5" spans="1:3" ht="15.5">
      <c r="A5" s="1" t="s">
        <v>116</v>
      </c>
      <c r="B5" s="1"/>
      <c r="C5" s="1"/>
    </row>
    <row r="6" spans="1:3" ht="15.5">
      <c r="A6" s="1"/>
      <c r="B6" s="1"/>
      <c r="C6" s="1"/>
    </row>
    <row r="7" spans="1:3" ht="15.5">
      <c r="A7" s="1" t="s">
        <v>5</v>
      </c>
      <c r="B7" s="1" t="s">
        <v>6</v>
      </c>
      <c r="C7" s="1" t="s">
        <v>7</v>
      </c>
    </row>
    <row r="8" spans="1:3" ht="15.5">
      <c r="A8" s="2" t="s">
        <v>8</v>
      </c>
      <c r="B8" s="1"/>
      <c r="C8" s="2">
        <v>-8101.57</v>
      </c>
    </row>
    <row r="9" spans="1:3" ht="32" customHeight="1">
      <c r="A9" s="3" t="s">
        <v>9</v>
      </c>
      <c r="B9" s="5">
        <f>C9/12</f>
        <v>51539.776666666665</v>
      </c>
      <c r="C9" s="1">
        <f>618477.32</f>
        <v>618477.31999999995</v>
      </c>
    </row>
    <row r="10" spans="1:3" ht="46.5">
      <c r="A10" s="3" t="s">
        <v>10</v>
      </c>
      <c r="B10" s="5">
        <f t="shared" ref="B10:B28" si="0">C10/12</f>
        <v>1676.25</v>
      </c>
      <c r="C10" s="1">
        <v>20115</v>
      </c>
    </row>
    <row r="11" spans="1:3" ht="15.5">
      <c r="A11" s="2" t="s">
        <v>11</v>
      </c>
      <c r="B11" s="5">
        <f t="shared" si="0"/>
        <v>53216.026666666665</v>
      </c>
      <c r="C11" s="2">
        <f>SUM(C9:C10)</f>
        <v>638592.31999999995</v>
      </c>
    </row>
    <row r="12" spans="1:3" ht="15.5">
      <c r="A12" s="2" t="s">
        <v>12</v>
      </c>
      <c r="B12" s="5">
        <f t="shared" si="0"/>
        <v>0</v>
      </c>
      <c r="C12" s="1"/>
    </row>
    <row r="13" spans="1:3" ht="77.5">
      <c r="A13" s="3" t="s">
        <v>13</v>
      </c>
      <c r="B13" s="5">
        <f t="shared" si="0"/>
        <v>12774.730000000001</v>
      </c>
      <c r="C13" s="1">
        <f>125526.12+27770.64</f>
        <v>153296.76</v>
      </c>
    </row>
    <row r="14" spans="1:3" ht="61.5" customHeight="1">
      <c r="A14" s="3" t="s">
        <v>14</v>
      </c>
      <c r="B14" s="5">
        <f t="shared" si="0"/>
        <v>12199.12</v>
      </c>
      <c r="C14" s="1">
        <f>44867.04+101522.4</f>
        <v>146389.44</v>
      </c>
    </row>
    <row r="15" spans="1:3" ht="51.5" customHeight="1">
      <c r="A15" s="3" t="s">
        <v>15</v>
      </c>
      <c r="B15" s="5">
        <f t="shared" si="0"/>
        <v>0</v>
      </c>
      <c r="C15" s="1"/>
    </row>
    <row r="16" spans="1:3" ht="15.5">
      <c r="A16" s="1" t="s">
        <v>16</v>
      </c>
      <c r="B16" s="5">
        <f t="shared" si="0"/>
        <v>894.91666666666663</v>
      </c>
      <c r="C16" s="1">
        <v>10739</v>
      </c>
    </row>
    <row r="17" spans="1:3" ht="15.5">
      <c r="A17" s="1" t="s">
        <v>17</v>
      </c>
      <c r="B17" s="5">
        <f t="shared" si="0"/>
        <v>1737.58</v>
      </c>
      <c r="C17" s="1">
        <v>20850.96</v>
      </c>
    </row>
    <row r="18" spans="1:3" ht="15.5">
      <c r="A18" s="1" t="s">
        <v>18</v>
      </c>
      <c r="B18" s="5">
        <f t="shared" si="0"/>
        <v>393.25666666666666</v>
      </c>
      <c r="C18" s="1">
        <v>4719.08</v>
      </c>
    </row>
    <row r="19" spans="1:3" ht="15.5">
      <c r="A19" s="1" t="s">
        <v>19</v>
      </c>
      <c r="B19" s="5">
        <f t="shared" si="0"/>
        <v>0</v>
      </c>
      <c r="C19" s="1"/>
    </row>
    <row r="20" spans="1:3" ht="15.5">
      <c r="A20" s="1" t="s">
        <v>20</v>
      </c>
      <c r="B20" s="5">
        <f t="shared" si="0"/>
        <v>940.38083333333327</v>
      </c>
      <c r="C20" s="1">
        <v>11284.57</v>
      </c>
    </row>
    <row r="21" spans="1:3" ht="15.5">
      <c r="A21" s="1" t="s">
        <v>21</v>
      </c>
      <c r="B21" s="5">
        <f t="shared" si="0"/>
        <v>1155.03</v>
      </c>
      <c r="C21" s="1">
        <v>13860.36</v>
      </c>
    </row>
    <row r="22" spans="1:3" ht="15.5">
      <c r="A22" s="1" t="s">
        <v>22</v>
      </c>
      <c r="B22" s="5">
        <f t="shared" si="0"/>
        <v>4335.6833333333334</v>
      </c>
      <c r="C22" s="1">
        <v>52028.2</v>
      </c>
    </row>
    <row r="23" spans="1:3" ht="15.5">
      <c r="A23" s="1" t="s">
        <v>23</v>
      </c>
      <c r="B23" s="5">
        <f t="shared" si="0"/>
        <v>585.18999999999994</v>
      </c>
      <c r="C23" s="1">
        <v>7022.28</v>
      </c>
    </row>
    <row r="24" spans="1:3" ht="15.5">
      <c r="A24" s="1" t="s">
        <v>24</v>
      </c>
      <c r="B24" s="5">
        <f t="shared" si="0"/>
        <v>3164.6758333333332</v>
      </c>
      <c r="C24" s="1">
        <v>37976.11</v>
      </c>
    </row>
    <row r="25" spans="1:3" ht="15.5">
      <c r="A25" s="1" t="s">
        <v>25</v>
      </c>
      <c r="B25" s="5">
        <f t="shared" si="0"/>
        <v>265.33583333333337</v>
      </c>
      <c r="C25" s="1">
        <v>3184.03</v>
      </c>
    </row>
    <row r="26" spans="1:3" ht="15.5">
      <c r="A26" s="1" t="s">
        <v>26</v>
      </c>
      <c r="B26" s="5">
        <f t="shared" si="0"/>
        <v>0</v>
      </c>
      <c r="C26" s="1"/>
    </row>
    <row r="27" spans="1:3" ht="15.5">
      <c r="A27" s="1" t="s">
        <v>27</v>
      </c>
      <c r="B27" s="5">
        <f t="shared" si="0"/>
        <v>9859.3291666666664</v>
      </c>
      <c r="C27" s="1">
        <v>118311.95</v>
      </c>
    </row>
    <row r="28" spans="1:3" ht="15.5">
      <c r="A28" s="2" t="s">
        <v>28</v>
      </c>
      <c r="B28" s="5">
        <f t="shared" si="0"/>
        <v>48305.22833333334</v>
      </c>
      <c r="C28" s="2">
        <f>SUM(C13:C27)</f>
        <v>579662.74000000011</v>
      </c>
    </row>
    <row r="29" spans="1:3" ht="31" customHeight="1">
      <c r="A29" s="2" t="s">
        <v>29</v>
      </c>
      <c r="B29" s="1"/>
      <c r="C29" s="2">
        <v>50828.01</v>
      </c>
    </row>
    <row r="30" spans="1:3" ht="31.5" customHeight="1">
      <c r="A30" s="2" t="s">
        <v>30</v>
      </c>
      <c r="B30" s="1"/>
      <c r="C30" s="2"/>
    </row>
    <row r="31" spans="1:3" ht="49.5" customHeight="1">
      <c r="A31" s="3" t="s">
        <v>31</v>
      </c>
      <c r="B31" s="1"/>
      <c r="C31" s="1">
        <v>155859.20000000001</v>
      </c>
    </row>
    <row r="32" spans="1:3" ht="62" hidden="1">
      <c r="A32" s="3" t="s">
        <v>32</v>
      </c>
      <c r="B32" s="1"/>
      <c r="C32" s="1"/>
    </row>
    <row r="33" spans="1:3" ht="39.5" customHeight="1">
      <c r="A33" s="2" t="s">
        <v>33</v>
      </c>
      <c r="B33" s="2"/>
      <c r="C33" s="2">
        <v>-105031.19</v>
      </c>
    </row>
    <row r="34" spans="1:3" ht="36" customHeight="1">
      <c r="A34" s="1" t="s">
        <v>34</v>
      </c>
      <c r="B34" s="1"/>
      <c r="C34" s="1"/>
    </row>
    <row r="35" spans="1:3" ht="40" customHeight="1">
      <c r="A35" s="1" t="s">
        <v>35</v>
      </c>
      <c r="B35" s="1"/>
      <c r="C35" s="1"/>
    </row>
    <row r="36" spans="1:3" ht="33" customHeight="1">
      <c r="A36" s="1" t="s">
        <v>64</v>
      </c>
      <c r="B36" s="1"/>
      <c r="C36" s="1"/>
    </row>
    <row r="37" spans="1:3" ht="36.5" customHeight="1">
      <c r="A37" s="1" t="s">
        <v>36</v>
      </c>
      <c r="B37" s="1"/>
      <c r="C37" s="1"/>
    </row>
  </sheetData>
  <pageMargins left="0.7" right="0.7" top="0.75" bottom="0.75" header="0.3" footer="0.3"/>
  <pageSetup paperSize="9" orientation="portrait" verticalDpi="0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C37"/>
  <sheetViews>
    <sheetView topLeftCell="A23" workbookViewId="0">
      <selection activeCell="C34" sqref="C34"/>
    </sheetView>
  </sheetViews>
  <sheetFormatPr defaultRowHeight="14.5"/>
  <cols>
    <col min="1" max="1" width="48.81640625" customWidth="1"/>
    <col min="2" max="2" width="15" customWidth="1"/>
    <col min="3" max="3" width="15.6328125" customWidth="1"/>
  </cols>
  <sheetData>
    <row r="1" spans="1:3" ht="15.5">
      <c r="A1" s="1" t="s">
        <v>0</v>
      </c>
      <c r="B1" s="1"/>
      <c r="C1" s="1"/>
    </row>
    <row r="2" spans="1:3" ht="15.5">
      <c r="A2" s="1" t="s">
        <v>103</v>
      </c>
      <c r="B2" s="1" t="s">
        <v>97</v>
      </c>
      <c r="C2" s="1"/>
    </row>
    <row r="3" spans="1:3" ht="15.5">
      <c r="A3" s="1" t="s">
        <v>3</v>
      </c>
      <c r="B3" s="1"/>
      <c r="C3" s="1"/>
    </row>
    <row r="4" spans="1:3" ht="15.5">
      <c r="A4" s="1" t="s">
        <v>4</v>
      </c>
      <c r="B4" s="1"/>
      <c r="C4" s="1"/>
    </row>
    <row r="5" spans="1:3" ht="15.5">
      <c r="A5" s="1" t="s">
        <v>116</v>
      </c>
      <c r="B5" s="1"/>
      <c r="C5" s="1"/>
    </row>
    <row r="6" spans="1:3" ht="15.5">
      <c r="A6" s="1"/>
      <c r="B6" s="1"/>
      <c r="C6" s="1"/>
    </row>
    <row r="7" spans="1:3" ht="15.5">
      <c r="A7" s="1" t="s">
        <v>5</v>
      </c>
      <c r="B7" s="1" t="s">
        <v>6</v>
      </c>
      <c r="C7" s="1" t="s">
        <v>7</v>
      </c>
    </row>
    <row r="8" spans="1:3" ht="15.5">
      <c r="A8" s="2" t="s">
        <v>8</v>
      </c>
      <c r="B8" s="1"/>
      <c r="C8" s="2">
        <v>64976.86</v>
      </c>
    </row>
    <row r="9" spans="1:3" ht="31">
      <c r="A9" s="3" t="s">
        <v>9</v>
      </c>
      <c r="B9" s="5">
        <f>C9/12</f>
        <v>49891.756666666661</v>
      </c>
      <c r="C9" s="1">
        <f>598701.08</f>
        <v>598701.07999999996</v>
      </c>
    </row>
    <row r="10" spans="1:3" ht="46.5">
      <c r="A10" s="3" t="s">
        <v>10</v>
      </c>
      <c r="B10" s="5">
        <f t="shared" ref="B10:B28" si="0">C10/12</f>
        <v>1246.25</v>
      </c>
      <c r="C10" s="1">
        <v>14955</v>
      </c>
    </row>
    <row r="11" spans="1:3" ht="15.5">
      <c r="A11" s="2" t="s">
        <v>11</v>
      </c>
      <c r="B11" s="5">
        <f t="shared" si="0"/>
        <v>51138.006666666661</v>
      </c>
      <c r="C11" s="2">
        <f>SUM(C9:C10)</f>
        <v>613656.07999999996</v>
      </c>
    </row>
    <row r="12" spans="1:3" ht="15.5">
      <c r="A12" s="2" t="s">
        <v>12</v>
      </c>
      <c r="B12" s="5">
        <f t="shared" si="0"/>
        <v>0</v>
      </c>
      <c r="C12" s="1"/>
    </row>
    <row r="13" spans="1:3" ht="77.5">
      <c r="A13" s="3" t="s">
        <v>13</v>
      </c>
      <c r="B13" s="5">
        <f t="shared" si="0"/>
        <v>12599.714999999998</v>
      </c>
      <c r="C13" s="1">
        <f>123806.4+27390.18</f>
        <v>151196.57999999999</v>
      </c>
    </row>
    <row r="14" spans="1:3" ht="77.5">
      <c r="A14" s="3" t="s">
        <v>14</v>
      </c>
      <c r="B14" s="5">
        <f t="shared" si="0"/>
        <v>8722.8566666666666</v>
      </c>
      <c r="C14" s="1">
        <f>40121.76+64552.52</f>
        <v>104674.28</v>
      </c>
    </row>
    <row r="15" spans="1:3" ht="46.5">
      <c r="A15" s="3" t="s">
        <v>15</v>
      </c>
      <c r="B15" s="5">
        <f t="shared" si="0"/>
        <v>0</v>
      </c>
      <c r="C15" s="1"/>
    </row>
    <row r="16" spans="1:3" ht="15.5">
      <c r="A16" s="1" t="s">
        <v>16</v>
      </c>
      <c r="B16" s="5">
        <f t="shared" si="0"/>
        <v>59.5</v>
      </c>
      <c r="C16" s="1">
        <v>714</v>
      </c>
    </row>
    <row r="17" spans="1:3" ht="15.5">
      <c r="A17" s="1" t="s">
        <v>17</v>
      </c>
      <c r="B17" s="5">
        <f t="shared" si="0"/>
        <v>1732.8500000000001</v>
      </c>
      <c r="C17" s="1">
        <v>20794.2</v>
      </c>
    </row>
    <row r="18" spans="1:3" ht="15.5">
      <c r="A18" s="1" t="s">
        <v>18</v>
      </c>
      <c r="B18" s="5">
        <f t="shared" si="0"/>
        <v>336.54666666666668</v>
      </c>
      <c r="C18" s="1">
        <v>4038.56</v>
      </c>
    </row>
    <row r="19" spans="1:3" ht="15.5">
      <c r="A19" s="1" t="s">
        <v>19</v>
      </c>
      <c r="B19" s="5">
        <f t="shared" si="0"/>
        <v>0</v>
      </c>
      <c r="C19" s="1"/>
    </row>
    <row r="20" spans="1:3" ht="15.5">
      <c r="A20" s="1" t="s">
        <v>20</v>
      </c>
      <c r="B20" s="5">
        <f t="shared" si="0"/>
        <v>940.38083333333327</v>
      </c>
      <c r="C20" s="1">
        <v>11284.57</v>
      </c>
    </row>
    <row r="21" spans="1:3" ht="15.5">
      <c r="A21" s="1" t="s">
        <v>21</v>
      </c>
      <c r="B21" s="5">
        <f t="shared" si="0"/>
        <v>1113.1291666666666</v>
      </c>
      <c r="C21" s="1">
        <v>13357.55</v>
      </c>
    </row>
    <row r="22" spans="1:3" ht="15.5">
      <c r="A22" s="1" t="s">
        <v>22</v>
      </c>
      <c r="B22" s="5">
        <f t="shared" si="0"/>
        <v>4321.6741666666667</v>
      </c>
      <c r="C22" s="1">
        <v>51860.09</v>
      </c>
    </row>
    <row r="23" spans="1:3" ht="15.5">
      <c r="A23" s="1" t="s">
        <v>23</v>
      </c>
      <c r="B23" s="5">
        <f t="shared" si="0"/>
        <v>586.22166666666669</v>
      </c>
      <c r="C23" s="1">
        <v>7034.66</v>
      </c>
    </row>
    <row r="24" spans="1:3" ht="15.5">
      <c r="A24" s="1" t="s">
        <v>24</v>
      </c>
      <c r="B24" s="5">
        <f t="shared" si="0"/>
        <v>3041.0991666666669</v>
      </c>
      <c r="C24" s="1">
        <v>36493.19</v>
      </c>
    </row>
    <row r="25" spans="1:3" ht="15.5">
      <c r="A25" s="1" t="s">
        <v>25</v>
      </c>
      <c r="B25" s="5">
        <f t="shared" si="0"/>
        <v>242.87166666666667</v>
      </c>
      <c r="C25" s="1">
        <v>2914.46</v>
      </c>
    </row>
    <row r="26" spans="1:3" ht="15.5">
      <c r="A26" s="1" t="s">
        <v>26</v>
      </c>
      <c r="B26" s="5">
        <f t="shared" si="0"/>
        <v>0</v>
      </c>
      <c r="C26" s="1"/>
    </row>
    <row r="27" spans="1:3" ht="15.5">
      <c r="A27" s="1" t="s">
        <v>27</v>
      </c>
      <c r="B27" s="5">
        <f t="shared" si="0"/>
        <v>9827.4724999999999</v>
      </c>
      <c r="C27" s="1">
        <v>117929.67</v>
      </c>
    </row>
    <row r="28" spans="1:3" ht="15.5">
      <c r="A28" s="2" t="s">
        <v>28</v>
      </c>
      <c r="B28" s="5">
        <f t="shared" si="0"/>
        <v>43524.317499999997</v>
      </c>
      <c r="C28" s="2">
        <f>SUM(C13:C27)</f>
        <v>522291.80999999994</v>
      </c>
    </row>
    <row r="29" spans="1:3" ht="23.5" customHeight="1">
      <c r="A29" s="2" t="s">
        <v>29</v>
      </c>
      <c r="B29" s="1"/>
      <c r="C29" s="2">
        <v>156341.13</v>
      </c>
    </row>
    <row r="30" spans="1:3" ht="31" customHeight="1">
      <c r="A30" s="2" t="s">
        <v>30</v>
      </c>
      <c r="B30" s="1"/>
      <c r="C30" s="2"/>
    </row>
    <row r="31" spans="1:3" ht="65" customHeight="1">
      <c r="A31" s="3" t="s">
        <v>31</v>
      </c>
      <c r="B31" s="1"/>
      <c r="C31" s="1">
        <v>119467.38</v>
      </c>
    </row>
    <row r="32" spans="1:3" ht="1" customHeight="1">
      <c r="A32" s="3" t="s">
        <v>32</v>
      </c>
      <c r="B32" s="1"/>
      <c r="C32" s="1"/>
    </row>
    <row r="33" spans="1:3" ht="34" customHeight="1">
      <c r="A33" s="2" t="s">
        <v>33</v>
      </c>
      <c r="B33" s="2"/>
      <c r="C33" s="2">
        <v>36873.75</v>
      </c>
    </row>
    <row r="34" spans="1:3" ht="52.5" customHeight="1">
      <c r="A34" s="1" t="s">
        <v>34</v>
      </c>
      <c r="B34" s="1"/>
      <c r="C34" s="1"/>
    </row>
    <row r="35" spans="1:3" ht="33.5" customHeight="1">
      <c r="A35" s="1" t="s">
        <v>35</v>
      </c>
      <c r="B35" s="1"/>
      <c r="C35" s="1"/>
    </row>
    <row r="36" spans="1:3" ht="15.5">
      <c r="A36" s="1" t="s">
        <v>64</v>
      </c>
      <c r="B36" s="1"/>
      <c r="C36" s="1"/>
    </row>
    <row r="37" spans="1:3" ht="15.5">
      <c r="A37" s="1" t="s">
        <v>36</v>
      </c>
      <c r="B37" s="1"/>
      <c r="C37" s="1"/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7"/>
  <sheetViews>
    <sheetView workbookViewId="0">
      <selection activeCell="C10" sqref="C10"/>
    </sheetView>
  </sheetViews>
  <sheetFormatPr defaultRowHeight="14.5"/>
  <cols>
    <col min="1" max="1" width="41.08984375" customWidth="1"/>
    <col min="2" max="2" width="15.1796875" customWidth="1"/>
    <col min="3" max="3" width="15.81640625" customWidth="1"/>
  </cols>
  <sheetData>
    <row r="1" spans="1:3" ht="15.5">
      <c r="A1" s="1" t="s">
        <v>0</v>
      </c>
      <c r="B1" s="1"/>
      <c r="C1" s="1"/>
    </row>
    <row r="2" spans="1:3" ht="15.5">
      <c r="A2" s="1" t="s">
        <v>43</v>
      </c>
      <c r="B2" s="1" t="s">
        <v>2</v>
      </c>
      <c r="C2" s="1"/>
    </row>
    <row r="3" spans="1:3" ht="15.5">
      <c r="A3" s="1" t="s">
        <v>3</v>
      </c>
      <c r="B3" s="1"/>
      <c r="C3" s="1"/>
    </row>
    <row r="4" spans="1:3" ht="15.5">
      <c r="A4" s="1" t="s">
        <v>4</v>
      </c>
      <c r="B4" s="1"/>
      <c r="C4" s="1"/>
    </row>
    <row r="5" spans="1:3" ht="15.5">
      <c r="A5" s="1" t="s">
        <v>116</v>
      </c>
      <c r="B5" s="1"/>
      <c r="C5" s="1"/>
    </row>
    <row r="6" spans="1:3" ht="4.5" customHeight="1">
      <c r="A6" s="1"/>
      <c r="B6" s="1"/>
      <c r="C6" s="1"/>
    </row>
    <row r="7" spans="1:3" ht="15.5">
      <c r="A7" s="1" t="s">
        <v>5</v>
      </c>
      <c r="B7" s="1" t="s">
        <v>6</v>
      </c>
      <c r="C7" s="1" t="s">
        <v>7</v>
      </c>
    </row>
    <row r="8" spans="1:3" ht="15.5">
      <c r="A8" s="2" t="s">
        <v>8</v>
      </c>
      <c r="B8" s="1"/>
      <c r="C8" s="2">
        <v>-130028.93</v>
      </c>
    </row>
    <row r="9" spans="1:3" ht="42.5" customHeight="1">
      <c r="A9" s="3" t="s">
        <v>9</v>
      </c>
      <c r="B9" s="4">
        <f>C9/12</f>
        <v>75380.165833333333</v>
      </c>
      <c r="C9" s="1">
        <f>199724.38+704837.61</f>
        <v>904561.99</v>
      </c>
    </row>
    <row r="10" spans="1:3" ht="51" customHeight="1">
      <c r="A10" s="3" t="s">
        <v>10</v>
      </c>
      <c r="B10" s="4">
        <f t="shared" ref="B10:B28" si="0">C10/12</f>
        <v>1960.7333333333333</v>
      </c>
      <c r="C10" s="1">
        <v>23528.799999999999</v>
      </c>
    </row>
    <row r="11" spans="1:3" ht="15.5">
      <c r="A11" s="2" t="s">
        <v>11</v>
      </c>
      <c r="B11" s="4">
        <f t="shared" si="0"/>
        <v>77340.89916666667</v>
      </c>
      <c r="C11" s="2">
        <f>SUM(C9:C10)</f>
        <v>928090.79</v>
      </c>
    </row>
    <row r="12" spans="1:3" ht="15.5">
      <c r="A12" s="2" t="s">
        <v>12</v>
      </c>
      <c r="B12" s="4">
        <f t="shared" si="0"/>
        <v>0</v>
      </c>
      <c r="C12" s="1"/>
    </row>
    <row r="13" spans="1:3" ht="74.5" customHeight="1">
      <c r="A13" s="3" t="s">
        <v>13</v>
      </c>
      <c r="B13" s="4">
        <f t="shared" si="0"/>
        <v>18350.486666666668</v>
      </c>
      <c r="C13" s="1">
        <f>180314.28+39891.56</f>
        <v>220205.84</v>
      </c>
    </row>
    <row r="14" spans="1:3" ht="74.5" customHeight="1">
      <c r="A14" s="3" t="s">
        <v>14</v>
      </c>
      <c r="B14" s="4">
        <f t="shared" si="0"/>
        <v>17104.311666666665</v>
      </c>
      <c r="C14" s="1">
        <f>47428.5+157823.24</f>
        <v>205251.74</v>
      </c>
    </row>
    <row r="15" spans="1:3" ht="62.5" customHeight="1">
      <c r="A15" s="3" t="s">
        <v>15</v>
      </c>
      <c r="B15" s="4">
        <f t="shared" si="0"/>
        <v>0</v>
      </c>
      <c r="C15" s="1"/>
    </row>
    <row r="16" spans="1:3" ht="15.5">
      <c r="A16" s="1" t="s">
        <v>16</v>
      </c>
      <c r="B16" s="4">
        <f t="shared" si="0"/>
        <v>14846.083333333334</v>
      </c>
      <c r="C16" s="1">
        <v>178153</v>
      </c>
    </row>
    <row r="17" spans="1:3" ht="15.5">
      <c r="A17" s="1" t="s">
        <v>17</v>
      </c>
      <c r="B17" s="4">
        <f t="shared" si="0"/>
        <v>2483.9900000000002</v>
      </c>
      <c r="C17" s="1">
        <v>29807.88</v>
      </c>
    </row>
    <row r="18" spans="1:3" ht="15.5">
      <c r="A18" s="1" t="s">
        <v>18</v>
      </c>
      <c r="B18" s="4">
        <f t="shared" si="0"/>
        <v>199.44000000000003</v>
      </c>
      <c r="C18" s="1">
        <v>2393.2800000000002</v>
      </c>
    </row>
    <row r="19" spans="1:3" ht="15.5">
      <c r="A19" s="1" t="s">
        <v>19</v>
      </c>
      <c r="B19" s="4">
        <f t="shared" si="0"/>
        <v>0</v>
      </c>
      <c r="C19" s="1"/>
    </row>
    <row r="20" spans="1:3" ht="15.5">
      <c r="A20" s="1" t="s">
        <v>20</v>
      </c>
      <c r="B20" s="4">
        <f t="shared" si="0"/>
        <v>1140.2116666666668</v>
      </c>
      <c r="C20" s="1">
        <v>13682.54</v>
      </c>
    </row>
    <row r="21" spans="1:3" ht="15.5">
      <c r="A21" s="1" t="s">
        <v>21</v>
      </c>
      <c r="B21" s="4">
        <f t="shared" si="0"/>
        <v>1670.8108333333332</v>
      </c>
      <c r="C21" s="1">
        <v>20049.73</v>
      </c>
    </row>
    <row r="22" spans="1:3" ht="15.5">
      <c r="A22" s="1" t="s">
        <v>22</v>
      </c>
      <c r="B22" s="4">
        <f t="shared" si="0"/>
        <v>6415.125</v>
      </c>
      <c r="C22" s="1">
        <v>76981.5</v>
      </c>
    </row>
    <row r="23" spans="1:3" ht="15.5">
      <c r="A23" s="1" t="s">
        <v>23</v>
      </c>
      <c r="B23" s="4">
        <f t="shared" si="0"/>
        <v>659.7883333333333</v>
      </c>
      <c r="C23" s="1">
        <v>7917.46</v>
      </c>
    </row>
    <row r="24" spans="1:3" ht="15.5">
      <c r="A24" s="1" t="s">
        <v>24</v>
      </c>
      <c r="B24" s="4">
        <f t="shared" si="0"/>
        <v>4599.3450000000003</v>
      </c>
      <c r="C24" s="1">
        <v>55192.14</v>
      </c>
    </row>
    <row r="25" spans="1:3" ht="15.5">
      <c r="A25" s="1" t="s">
        <v>25</v>
      </c>
      <c r="B25" s="4">
        <f t="shared" si="0"/>
        <v>327.16666666666669</v>
      </c>
      <c r="C25" s="1">
        <v>3926</v>
      </c>
    </row>
    <row r="26" spans="1:3" ht="15.5">
      <c r="A26" s="1" t="s">
        <v>26</v>
      </c>
      <c r="B26" s="4">
        <f t="shared" si="0"/>
        <v>429.7091666666667</v>
      </c>
      <c r="C26" s="1">
        <v>5156.51</v>
      </c>
    </row>
    <row r="27" spans="1:3" ht="15.5">
      <c r="A27" s="1" t="s">
        <v>27</v>
      </c>
      <c r="B27" s="4">
        <f t="shared" si="0"/>
        <v>14587.972500000002</v>
      </c>
      <c r="C27" s="1">
        <v>175055.67</v>
      </c>
    </row>
    <row r="28" spans="1:3" ht="15.5">
      <c r="A28" s="2" t="s">
        <v>28</v>
      </c>
      <c r="B28" s="4">
        <f t="shared" si="0"/>
        <v>82814.440833333341</v>
      </c>
      <c r="C28" s="2">
        <f>SUM(C13:C27)</f>
        <v>993773.29</v>
      </c>
    </row>
    <row r="29" spans="1:3" ht="15.5">
      <c r="A29" s="2" t="s">
        <v>29</v>
      </c>
      <c r="B29" s="1"/>
      <c r="C29" s="2"/>
    </row>
    <row r="30" spans="1:3" ht="24" customHeight="1">
      <c r="A30" s="2" t="s">
        <v>30</v>
      </c>
      <c r="B30" s="1"/>
      <c r="C30" s="2">
        <v>195711.43</v>
      </c>
    </row>
    <row r="31" spans="1:3" ht="53" customHeight="1">
      <c r="A31" s="3" t="s">
        <v>31</v>
      </c>
      <c r="B31" s="1"/>
      <c r="C31" s="1">
        <v>98586.9</v>
      </c>
    </row>
    <row r="32" spans="1:3" ht="62" hidden="1">
      <c r="A32" s="3" t="s">
        <v>32</v>
      </c>
      <c r="B32" s="1"/>
      <c r="C32" s="1"/>
    </row>
    <row r="33" spans="1:3" ht="32.5" customHeight="1">
      <c r="A33" s="2" t="s">
        <v>33</v>
      </c>
      <c r="B33" s="2"/>
      <c r="C33" s="2">
        <v>-294298.33</v>
      </c>
    </row>
    <row r="34" spans="1:3" ht="45.5" customHeight="1">
      <c r="A34" s="1" t="s">
        <v>34</v>
      </c>
      <c r="B34" s="1"/>
      <c r="C34" s="1"/>
    </row>
    <row r="35" spans="1:3" ht="24.5" customHeight="1">
      <c r="A35" s="1" t="s">
        <v>35</v>
      </c>
      <c r="B35" s="1"/>
      <c r="C35" s="1"/>
    </row>
    <row r="36" spans="1:3" ht="22.5" customHeight="1">
      <c r="A36" s="1" t="s">
        <v>111</v>
      </c>
      <c r="B36" s="1"/>
      <c r="C36" s="1"/>
    </row>
    <row r="37" spans="1:3" ht="21" customHeight="1">
      <c r="A37" s="1" t="s">
        <v>36</v>
      </c>
      <c r="B37" s="1"/>
      <c r="C37" s="1"/>
    </row>
  </sheetData>
  <pageMargins left="0.7" right="0.7" top="0.75" bottom="0.75" header="0.3" footer="0.3"/>
  <pageSetup paperSize="9" orientation="portrait" verticalDpi="0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C37"/>
  <sheetViews>
    <sheetView topLeftCell="A20" workbookViewId="0">
      <selection activeCell="C34" sqref="C34"/>
    </sheetView>
  </sheetViews>
  <sheetFormatPr defaultRowHeight="14.5"/>
  <cols>
    <col min="1" max="1" width="45.08984375" customWidth="1"/>
    <col min="2" max="2" width="17.36328125" customWidth="1"/>
    <col min="3" max="3" width="15.81640625" customWidth="1"/>
  </cols>
  <sheetData>
    <row r="1" spans="1:3" ht="15.5">
      <c r="A1" s="1" t="s">
        <v>0</v>
      </c>
      <c r="B1" s="1"/>
      <c r="C1" s="1"/>
    </row>
    <row r="2" spans="1:3" ht="15.5">
      <c r="A2" s="1" t="s">
        <v>104</v>
      </c>
      <c r="B2" s="1" t="s">
        <v>97</v>
      </c>
      <c r="C2" s="1"/>
    </row>
    <row r="3" spans="1:3" ht="15.5">
      <c r="A3" s="1" t="s">
        <v>3</v>
      </c>
      <c r="B3" s="1"/>
      <c r="C3" s="1"/>
    </row>
    <row r="4" spans="1:3" ht="15.5">
      <c r="A4" s="1" t="s">
        <v>4</v>
      </c>
      <c r="B4" s="1"/>
      <c r="C4" s="1"/>
    </row>
    <row r="5" spans="1:3" ht="15.5">
      <c r="A5" s="1" t="s">
        <v>116</v>
      </c>
      <c r="B5" s="1"/>
      <c r="C5" s="1"/>
    </row>
    <row r="6" spans="1:3" ht="15.5">
      <c r="A6" s="1"/>
      <c r="B6" s="1"/>
      <c r="C6" s="1"/>
    </row>
    <row r="7" spans="1:3" ht="15.5">
      <c r="A7" s="1" t="s">
        <v>5</v>
      </c>
      <c r="B7" s="1" t="s">
        <v>6</v>
      </c>
      <c r="C7" s="1" t="s">
        <v>7</v>
      </c>
    </row>
    <row r="8" spans="1:3" ht="15.5">
      <c r="A8" s="2" t="s">
        <v>8</v>
      </c>
      <c r="B8" s="1"/>
      <c r="C8" s="2">
        <v>49883.4</v>
      </c>
    </row>
    <row r="9" spans="1:3" ht="46.5">
      <c r="A9" s="3" t="s">
        <v>9</v>
      </c>
      <c r="B9" s="5">
        <f>C9/12</f>
        <v>50936.23</v>
      </c>
      <c r="C9" s="1">
        <v>611234.76</v>
      </c>
    </row>
    <row r="10" spans="1:3" ht="46.5">
      <c r="A10" s="3" t="s">
        <v>10</v>
      </c>
      <c r="B10" s="5">
        <f t="shared" ref="B10:B28" si="0">C10/12</f>
        <v>433.33333333333331</v>
      </c>
      <c r="C10" s="1">
        <v>5200</v>
      </c>
    </row>
    <row r="11" spans="1:3" ht="15.5">
      <c r="A11" s="2" t="s">
        <v>11</v>
      </c>
      <c r="B11" s="5">
        <f t="shared" si="0"/>
        <v>51369.563333333332</v>
      </c>
      <c r="C11" s="2">
        <f>SUM(C9:C10)</f>
        <v>616434.76</v>
      </c>
    </row>
    <row r="12" spans="1:3" ht="15.5">
      <c r="A12" s="2" t="s">
        <v>12</v>
      </c>
      <c r="B12" s="5">
        <f t="shared" si="0"/>
        <v>0</v>
      </c>
      <c r="C12" s="1"/>
    </row>
    <row r="13" spans="1:3" ht="77.5">
      <c r="A13" s="3" t="s">
        <v>13</v>
      </c>
      <c r="B13" s="5">
        <f t="shared" si="0"/>
        <v>12690.986666666666</v>
      </c>
      <c r="C13" s="1">
        <f>124703.28+27588.56</f>
        <v>152291.84</v>
      </c>
    </row>
    <row r="14" spans="1:3" ht="77.5">
      <c r="A14" s="3" t="s">
        <v>14</v>
      </c>
      <c r="B14" s="5">
        <f t="shared" si="0"/>
        <v>10469.421666666667</v>
      </c>
      <c r="C14" s="1">
        <f>39685.02+85948.04</f>
        <v>125633.06</v>
      </c>
    </row>
    <row r="15" spans="1:3" ht="62">
      <c r="A15" s="3" t="s">
        <v>15</v>
      </c>
      <c r="B15" s="5">
        <f t="shared" si="0"/>
        <v>0</v>
      </c>
      <c r="C15" s="1"/>
    </row>
    <row r="16" spans="1:3" ht="15.5">
      <c r="A16" s="1" t="s">
        <v>16</v>
      </c>
      <c r="B16" s="5">
        <f t="shared" si="0"/>
        <v>1176.5</v>
      </c>
      <c r="C16" s="1">
        <v>14118</v>
      </c>
    </row>
    <row r="17" spans="1:3" ht="15.5">
      <c r="A17" s="1" t="s">
        <v>17</v>
      </c>
      <c r="B17" s="5">
        <f t="shared" si="0"/>
        <v>1748.29</v>
      </c>
      <c r="C17" s="1">
        <v>20979.48</v>
      </c>
    </row>
    <row r="18" spans="1:3" ht="15.5">
      <c r="A18" s="1" t="s">
        <v>18</v>
      </c>
      <c r="B18" s="5">
        <f t="shared" si="0"/>
        <v>195.58</v>
      </c>
      <c r="C18" s="1">
        <v>2346.96</v>
      </c>
    </row>
    <row r="19" spans="1:3" ht="15.5">
      <c r="A19" s="1" t="s">
        <v>19</v>
      </c>
      <c r="B19" s="5">
        <f t="shared" si="0"/>
        <v>0</v>
      </c>
      <c r="C19" s="1"/>
    </row>
    <row r="20" spans="1:3" ht="15.5">
      <c r="A20" s="1" t="s">
        <v>20</v>
      </c>
      <c r="B20" s="5">
        <f t="shared" si="0"/>
        <v>940.38083333333327</v>
      </c>
      <c r="C20" s="1">
        <v>11284.57</v>
      </c>
    </row>
    <row r="21" spans="1:3" ht="15.5">
      <c r="A21" s="1" t="s">
        <v>21</v>
      </c>
      <c r="B21" s="5">
        <f t="shared" si="0"/>
        <v>1121.6291666666666</v>
      </c>
      <c r="C21" s="1">
        <v>13459.55</v>
      </c>
    </row>
    <row r="22" spans="1:3" ht="15.5">
      <c r="A22" s="1" t="s">
        <v>22</v>
      </c>
      <c r="B22" s="5">
        <f t="shared" si="0"/>
        <v>4360.9775</v>
      </c>
      <c r="C22" s="1">
        <v>52331.73</v>
      </c>
    </row>
    <row r="23" spans="1:3" ht="15.5">
      <c r="A23" s="1" t="s">
        <v>23</v>
      </c>
      <c r="B23" s="5">
        <f t="shared" si="0"/>
        <v>548.46249999999998</v>
      </c>
      <c r="C23" s="1">
        <v>6581.55</v>
      </c>
    </row>
    <row r="24" spans="1:3" ht="15.5">
      <c r="A24" s="1" t="s">
        <v>24</v>
      </c>
      <c r="B24" s="5">
        <f t="shared" si="0"/>
        <v>3054.8691666666668</v>
      </c>
      <c r="C24" s="1">
        <v>36658.43</v>
      </c>
    </row>
    <row r="25" spans="1:3" ht="15.5">
      <c r="A25" s="1" t="s">
        <v>25</v>
      </c>
      <c r="B25" s="5">
        <f t="shared" si="0"/>
        <v>242.87166666666667</v>
      </c>
      <c r="C25" s="1">
        <v>2914.46</v>
      </c>
    </row>
    <row r="26" spans="1:3" ht="15.5">
      <c r="A26" s="1" t="s">
        <v>26</v>
      </c>
      <c r="B26" s="5">
        <f t="shared" si="0"/>
        <v>0</v>
      </c>
      <c r="C26" s="1"/>
    </row>
    <row r="27" spans="1:3" ht="15.5">
      <c r="A27" s="1" t="s">
        <v>27</v>
      </c>
      <c r="B27" s="5">
        <f t="shared" si="0"/>
        <v>9916.8483333333334</v>
      </c>
      <c r="C27" s="1">
        <v>119002.18</v>
      </c>
    </row>
    <row r="28" spans="1:3" ht="15.5">
      <c r="A28" s="2" t="s">
        <v>28</v>
      </c>
      <c r="B28" s="5">
        <f t="shared" si="0"/>
        <v>46466.817500000005</v>
      </c>
      <c r="C28" s="2">
        <f>SUM(C13:C27)</f>
        <v>557601.81000000006</v>
      </c>
    </row>
    <row r="29" spans="1:3" ht="25.5" customHeight="1">
      <c r="A29" s="2" t="s">
        <v>29</v>
      </c>
      <c r="B29" s="1"/>
      <c r="C29" s="2">
        <v>108716.35</v>
      </c>
    </row>
    <row r="30" spans="1:3" ht="30" customHeight="1">
      <c r="A30" s="2" t="s">
        <v>30</v>
      </c>
      <c r="B30" s="1"/>
      <c r="C30" s="2"/>
    </row>
    <row r="31" spans="1:3" ht="31.5" customHeight="1">
      <c r="A31" s="3" t="s">
        <v>31</v>
      </c>
      <c r="B31" s="1"/>
      <c r="C31" s="1">
        <v>37291.99</v>
      </c>
    </row>
    <row r="32" spans="1:3" ht="0.5" customHeight="1">
      <c r="A32" s="3" t="s">
        <v>32</v>
      </c>
      <c r="B32" s="1"/>
      <c r="C32" s="1"/>
    </row>
    <row r="33" spans="1:3" ht="24.5" customHeight="1">
      <c r="A33" s="2" t="s">
        <v>33</v>
      </c>
      <c r="B33" s="2"/>
      <c r="C33" s="2">
        <v>71424.36</v>
      </c>
    </row>
    <row r="34" spans="1:3" ht="42" customHeight="1">
      <c r="A34" s="1" t="s">
        <v>34</v>
      </c>
      <c r="B34" s="1"/>
      <c r="C34" s="1"/>
    </row>
    <row r="35" spans="1:3" ht="37" customHeight="1">
      <c r="A35" s="1" t="s">
        <v>35</v>
      </c>
      <c r="B35" s="1"/>
      <c r="C35" s="1"/>
    </row>
    <row r="36" spans="1:3" ht="15.5">
      <c r="A36" s="1" t="s">
        <v>64</v>
      </c>
      <c r="B36" s="1"/>
      <c r="C36" s="1"/>
    </row>
    <row r="37" spans="1:3" ht="15.5">
      <c r="A37" s="1" t="s">
        <v>36</v>
      </c>
      <c r="B37" s="1"/>
      <c r="C37" s="1"/>
    </row>
  </sheetData>
  <pageMargins left="0.7" right="0.7" top="0.75" bottom="0.75" header="0.3" footer="0.3"/>
  <pageSetup paperSize="9" orientation="portrait" verticalDpi="0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C37"/>
  <sheetViews>
    <sheetView topLeftCell="A21" workbookViewId="0">
      <selection activeCell="C34" sqref="C34"/>
    </sheetView>
  </sheetViews>
  <sheetFormatPr defaultRowHeight="14.5"/>
  <cols>
    <col min="1" max="1" width="45" customWidth="1"/>
    <col min="2" max="2" width="14.81640625" customWidth="1"/>
    <col min="3" max="3" width="14.26953125" customWidth="1"/>
  </cols>
  <sheetData>
    <row r="1" spans="1:3" ht="15.5">
      <c r="A1" s="1" t="s">
        <v>0</v>
      </c>
      <c r="B1" s="1"/>
      <c r="C1" s="1"/>
    </row>
    <row r="2" spans="1:3" ht="15.5">
      <c r="A2" s="1" t="s">
        <v>105</v>
      </c>
      <c r="B2" s="1" t="s">
        <v>97</v>
      </c>
      <c r="C2" s="1"/>
    </row>
    <row r="3" spans="1:3" ht="15.5">
      <c r="A3" s="1" t="s">
        <v>3</v>
      </c>
      <c r="B3" s="1"/>
      <c r="C3" s="1"/>
    </row>
    <row r="4" spans="1:3" ht="15.5">
      <c r="A4" s="1" t="s">
        <v>4</v>
      </c>
      <c r="B4" s="1"/>
      <c r="C4" s="1"/>
    </row>
    <row r="5" spans="1:3" ht="15.5">
      <c r="A5" s="1" t="s">
        <v>117</v>
      </c>
      <c r="B5" s="1"/>
      <c r="C5" s="1"/>
    </row>
    <row r="6" spans="1:3" ht="15.5">
      <c r="A6" s="1"/>
      <c r="B6" s="1"/>
      <c r="C6" s="1"/>
    </row>
    <row r="7" spans="1:3" ht="15.5">
      <c r="A7" s="1" t="s">
        <v>5</v>
      </c>
      <c r="B7" s="1" t="s">
        <v>6</v>
      </c>
      <c r="C7" s="1" t="s">
        <v>7</v>
      </c>
    </row>
    <row r="8" spans="1:3" ht="15.5">
      <c r="A8" s="2" t="s">
        <v>8</v>
      </c>
      <c r="B8" s="1"/>
      <c r="C8" s="2">
        <v>-17262.689999999999</v>
      </c>
    </row>
    <row r="9" spans="1:3" ht="46.5">
      <c r="A9" s="3" t="s">
        <v>9</v>
      </c>
      <c r="B9" s="5">
        <f>C9/12</f>
        <v>48121.325833333336</v>
      </c>
      <c r="C9" s="1">
        <f>577455.91</f>
        <v>577455.91</v>
      </c>
    </row>
    <row r="10" spans="1:3" ht="46.5">
      <c r="A10" s="3" t="s">
        <v>10</v>
      </c>
      <c r="B10" s="5">
        <f t="shared" ref="B10:B28" si="0">C10/12</f>
        <v>1801.25</v>
      </c>
      <c r="C10" s="1">
        <v>21615</v>
      </c>
    </row>
    <row r="11" spans="1:3" ht="15.5">
      <c r="A11" s="2" t="s">
        <v>11</v>
      </c>
      <c r="B11" s="5">
        <f t="shared" si="0"/>
        <v>49922.575833333336</v>
      </c>
      <c r="C11" s="2">
        <f>SUM(C9:C10)</f>
        <v>599070.91</v>
      </c>
    </row>
    <row r="12" spans="1:3" ht="15.5">
      <c r="A12" s="2" t="s">
        <v>12</v>
      </c>
      <c r="B12" s="5">
        <f t="shared" si="0"/>
        <v>0</v>
      </c>
      <c r="C12" s="1"/>
    </row>
    <row r="13" spans="1:3" ht="77.5">
      <c r="A13" s="3" t="s">
        <v>13</v>
      </c>
      <c r="B13" s="5">
        <f t="shared" si="0"/>
        <v>12520.084999999999</v>
      </c>
      <c r="C13" s="1">
        <f>123024+27217.02</f>
        <v>150241.01999999999</v>
      </c>
    </row>
    <row r="14" spans="1:3" ht="77.5">
      <c r="A14" s="3" t="s">
        <v>14</v>
      </c>
      <c r="B14" s="5">
        <f t="shared" si="0"/>
        <v>7863.003333333334</v>
      </c>
      <c r="C14" s="1">
        <f>38280.4+56075.64</f>
        <v>94356.040000000008</v>
      </c>
    </row>
    <row r="15" spans="1:3" ht="62">
      <c r="A15" s="3" t="s">
        <v>15</v>
      </c>
      <c r="B15" s="5">
        <f t="shared" si="0"/>
        <v>0</v>
      </c>
      <c r="C15" s="1"/>
    </row>
    <row r="16" spans="1:3" ht="15.5">
      <c r="A16" s="1" t="s">
        <v>16</v>
      </c>
      <c r="B16" s="5">
        <f t="shared" si="0"/>
        <v>4819.166666666667</v>
      </c>
      <c r="C16" s="1">
        <v>57830</v>
      </c>
    </row>
    <row r="17" spans="1:3" ht="15.5">
      <c r="A17" s="1" t="s">
        <v>17</v>
      </c>
      <c r="B17" s="5">
        <f t="shared" si="0"/>
        <v>1728.38</v>
      </c>
      <c r="C17" s="1">
        <v>20740.560000000001</v>
      </c>
    </row>
    <row r="18" spans="1:3" ht="15.5">
      <c r="A18" s="1" t="s">
        <v>18</v>
      </c>
      <c r="B18" s="5">
        <f t="shared" si="0"/>
        <v>196.22</v>
      </c>
      <c r="C18" s="1">
        <v>2354.64</v>
      </c>
    </row>
    <row r="19" spans="1:3" ht="15.5">
      <c r="A19" s="1" t="s">
        <v>19</v>
      </c>
      <c r="B19" s="5">
        <f t="shared" si="0"/>
        <v>0</v>
      </c>
      <c r="C19" s="1"/>
    </row>
    <row r="20" spans="1:3" ht="15.5">
      <c r="A20" s="1" t="s">
        <v>20</v>
      </c>
      <c r="B20" s="5">
        <f t="shared" si="0"/>
        <v>952.13583333333327</v>
      </c>
      <c r="C20" s="1">
        <v>11425.63</v>
      </c>
    </row>
    <row r="21" spans="1:3" ht="15.5">
      <c r="A21" s="1" t="s">
        <v>21</v>
      </c>
      <c r="B21" s="5">
        <f t="shared" si="0"/>
        <v>1091.0025000000001</v>
      </c>
      <c r="C21" s="1">
        <v>13092.03</v>
      </c>
    </row>
    <row r="22" spans="1:3" ht="15.5">
      <c r="A22" s="1" t="s">
        <v>22</v>
      </c>
      <c r="B22" s="5">
        <f t="shared" si="0"/>
        <v>4311.8158333333331</v>
      </c>
      <c r="C22" s="1">
        <v>51741.79</v>
      </c>
    </row>
    <row r="23" spans="1:3" ht="15.5">
      <c r="A23" s="1" t="s">
        <v>23</v>
      </c>
      <c r="B23" s="5">
        <f t="shared" si="0"/>
        <v>551.55833333333328</v>
      </c>
      <c r="C23" s="1">
        <v>6618.7</v>
      </c>
    </row>
    <row r="24" spans="1:3" ht="15.5">
      <c r="A24" s="1" t="s">
        <v>24</v>
      </c>
      <c r="B24" s="5">
        <f t="shared" si="0"/>
        <v>2968.8191666666667</v>
      </c>
      <c r="C24" s="1">
        <v>35625.83</v>
      </c>
    </row>
    <row r="25" spans="1:3" ht="15.5">
      <c r="A25" s="1" t="s">
        <v>25</v>
      </c>
      <c r="B25" s="5">
        <f t="shared" si="0"/>
        <v>242.87166666666667</v>
      </c>
      <c r="C25" s="1">
        <v>2914.46</v>
      </c>
    </row>
    <row r="26" spans="1:3" ht="15.5">
      <c r="A26" s="1" t="s">
        <v>26</v>
      </c>
      <c r="B26" s="5">
        <f t="shared" si="0"/>
        <v>3158.0575000000003</v>
      </c>
      <c r="C26" s="1">
        <v>37896.69</v>
      </c>
    </row>
    <row r="27" spans="1:3" ht="15.5">
      <c r="A27" s="1" t="s">
        <v>27</v>
      </c>
      <c r="B27" s="5">
        <f t="shared" si="0"/>
        <v>9805.0550000000003</v>
      </c>
      <c r="C27" s="1">
        <v>117660.66</v>
      </c>
    </row>
    <row r="28" spans="1:3" ht="15.5">
      <c r="A28" s="2" t="s">
        <v>28</v>
      </c>
      <c r="B28" s="5">
        <f t="shared" si="0"/>
        <v>50208.170833333337</v>
      </c>
      <c r="C28" s="2">
        <f>SUM(C13:C27)</f>
        <v>602498.05000000005</v>
      </c>
    </row>
    <row r="29" spans="1:3" ht="23" customHeight="1">
      <c r="A29" s="2" t="s">
        <v>29</v>
      </c>
      <c r="B29" s="1"/>
      <c r="C29" s="2"/>
    </row>
    <row r="30" spans="1:3" ht="31" customHeight="1">
      <c r="A30" s="2" t="s">
        <v>30</v>
      </c>
      <c r="B30" s="1"/>
      <c r="C30" s="2">
        <v>20689.830000000002</v>
      </c>
    </row>
    <row r="31" spans="1:3" ht="50.5" customHeight="1">
      <c r="A31" s="3" t="s">
        <v>31</v>
      </c>
      <c r="B31" s="1"/>
      <c r="C31" s="1">
        <v>304340.14</v>
      </c>
    </row>
    <row r="32" spans="1:3" ht="62" hidden="1">
      <c r="A32" s="3" t="s">
        <v>32</v>
      </c>
      <c r="B32" s="1"/>
      <c r="C32" s="1"/>
    </row>
    <row r="33" spans="1:3" ht="34" customHeight="1">
      <c r="A33" s="2" t="s">
        <v>33</v>
      </c>
      <c r="B33" s="2"/>
      <c r="C33" s="2">
        <v>-325029.96999999997</v>
      </c>
    </row>
    <row r="34" spans="1:3" ht="41.5" customHeight="1">
      <c r="A34" s="1" t="s">
        <v>34</v>
      </c>
      <c r="B34" s="1"/>
      <c r="C34" s="1"/>
    </row>
    <row r="35" spans="1:3" ht="33" customHeight="1">
      <c r="A35" s="1" t="s">
        <v>35</v>
      </c>
      <c r="B35" s="1"/>
      <c r="C35" s="1"/>
    </row>
    <row r="36" spans="1:3" ht="15.5">
      <c r="A36" s="1" t="s">
        <v>64</v>
      </c>
      <c r="B36" s="1"/>
      <c r="C36" s="1"/>
    </row>
    <row r="37" spans="1:3" ht="15.5">
      <c r="A37" s="1" t="s">
        <v>36</v>
      </c>
      <c r="B37" s="1"/>
      <c r="C37" s="1"/>
    </row>
  </sheetData>
  <pageMargins left="0.7" right="0.7" top="0.75" bottom="0.75" header="0.3" footer="0.3"/>
  <pageSetup paperSize="9" orientation="portrait" verticalDpi="0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C37"/>
  <sheetViews>
    <sheetView workbookViewId="0">
      <selection activeCell="C34" sqref="C34"/>
    </sheetView>
  </sheetViews>
  <sheetFormatPr defaultRowHeight="14.5"/>
  <cols>
    <col min="1" max="1" width="43.7265625" customWidth="1"/>
    <col min="2" max="2" width="14.1796875" customWidth="1"/>
    <col min="3" max="3" width="14.6328125" customWidth="1"/>
  </cols>
  <sheetData>
    <row r="1" spans="1:3" ht="15.5">
      <c r="A1" s="1" t="s">
        <v>0</v>
      </c>
      <c r="B1" s="1"/>
      <c r="C1" s="1"/>
    </row>
    <row r="2" spans="1:3" ht="15.5">
      <c r="A2" s="1" t="s">
        <v>106</v>
      </c>
      <c r="B2" s="1" t="s">
        <v>97</v>
      </c>
      <c r="C2" s="1"/>
    </row>
    <row r="3" spans="1:3" ht="15.5">
      <c r="A3" s="1" t="s">
        <v>3</v>
      </c>
      <c r="B3" s="1"/>
      <c r="C3" s="1"/>
    </row>
    <row r="4" spans="1:3" ht="15.5">
      <c r="A4" s="1" t="s">
        <v>4</v>
      </c>
      <c r="B4" s="1"/>
      <c r="C4" s="1"/>
    </row>
    <row r="5" spans="1:3" ht="15.5">
      <c r="A5" s="1" t="s">
        <v>117</v>
      </c>
      <c r="B5" s="1"/>
      <c r="C5" s="1"/>
    </row>
    <row r="6" spans="1:3" ht="15.5">
      <c r="A6" s="1"/>
      <c r="B6" s="1"/>
      <c r="C6" s="1"/>
    </row>
    <row r="7" spans="1:3" ht="15.5">
      <c r="A7" s="1" t="s">
        <v>5</v>
      </c>
      <c r="B7" s="1" t="s">
        <v>6</v>
      </c>
      <c r="C7" s="1" t="s">
        <v>7</v>
      </c>
    </row>
    <row r="8" spans="1:3" ht="15.5">
      <c r="A8" s="2" t="s">
        <v>8</v>
      </c>
      <c r="B8" s="1"/>
      <c r="C8" s="2">
        <v>98572.27</v>
      </c>
    </row>
    <row r="9" spans="1:3" ht="46.5">
      <c r="A9" s="3" t="s">
        <v>9</v>
      </c>
      <c r="B9" s="5">
        <f>C9/12</f>
        <v>45723.761666666665</v>
      </c>
      <c r="C9" s="1">
        <v>548685.14</v>
      </c>
    </row>
    <row r="10" spans="1:3" ht="46.5">
      <c r="A10" s="3" t="s">
        <v>10</v>
      </c>
      <c r="B10" s="5">
        <f t="shared" ref="B10:B28" si="0">C10/12</f>
        <v>1030</v>
      </c>
      <c r="C10" s="1">
        <v>12360</v>
      </c>
    </row>
    <row r="11" spans="1:3" ht="15.5">
      <c r="A11" s="2" t="s">
        <v>11</v>
      </c>
      <c r="B11" s="5">
        <f t="shared" si="0"/>
        <v>46753.761666666665</v>
      </c>
      <c r="C11" s="2">
        <f>SUM(C9:C10)</f>
        <v>561045.14</v>
      </c>
    </row>
    <row r="12" spans="1:3" ht="15.5">
      <c r="A12" s="2" t="s">
        <v>12</v>
      </c>
      <c r="B12" s="5">
        <f t="shared" si="0"/>
        <v>0</v>
      </c>
      <c r="C12" s="1"/>
    </row>
    <row r="13" spans="1:3" ht="77.5">
      <c r="A13" s="3" t="s">
        <v>13</v>
      </c>
      <c r="B13" s="5">
        <f t="shared" si="0"/>
        <v>12622.018333333333</v>
      </c>
      <c r="C13" s="1">
        <f>124025.6+27438.62</f>
        <v>151464.22</v>
      </c>
    </row>
    <row r="14" spans="1:3" ht="77.5">
      <c r="A14" s="3" t="s">
        <v>14</v>
      </c>
      <c r="B14" s="5">
        <f t="shared" si="0"/>
        <v>7601.4716666666673</v>
      </c>
      <c r="C14" s="1">
        <f>38658.1+52559.56</f>
        <v>91217.66</v>
      </c>
    </row>
    <row r="15" spans="1:3" ht="62">
      <c r="A15" s="3" t="s">
        <v>15</v>
      </c>
      <c r="B15" s="5">
        <f t="shared" si="0"/>
        <v>0</v>
      </c>
      <c r="C15" s="1"/>
    </row>
    <row r="16" spans="1:3" ht="15.5">
      <c r="A16" s="1" t="s">
        <v>16</v>
      </c>
      <c r="B16" s="5">
        <f t="shared" si="0"/>
        <v>2070.0833333333335</v>
      </c>
      <c r="C16" s="1">
        <v>24841</v>
      </c>
    </row>
    <row r="17" spans="1:3" ht="15.5">
      <c r="A17" s="1" t="s">
        <v>17</v>
      </c>
      <c r="B17" s="5">
        <f t="shared" si="0"/>
        <v>1740.9099999999999</v>
      </c>
      <c r="C17" s="1">
        <v>20890.919999999998</v>
      </c>
    </row>
    <row r="18" spans="1:3" ht="15.5">
      <c r="A18" s="1" t="s">
        <v>18</v>
      </c>
      <c r="B18" s="5">
        <f t="shared" si="0"/>
        <v>240.65</v>
      </c>
      <c r="C18" s="1">
        <v>2887.8</v>
      </c>
    </row>
    <row r="19" spans="1:3" ht="15.5">
      <c r="A19" s="1" t="s">
        <v>19</v>
      </c>
      <c r="B19" s="5">
        <f t="shared" si="0"/>
        <v>0</v>
      </c>
      <c r="C19" s="1"/>
    </row>
    <row r="20" spans="1:3" ht="15.5">
      <c r="A20" s="1" t="s">
        <v>20</v>
      </c>
      <c r="B20" s="5">
        <f t="shared" si="0"/>
        <v>952.13583333333327</v>
      </c>
      <c r="C20" s="1">
        <v>11425.63</v>
      </c>
    </row>
    <row r="21" spans="1:3" ht="15.5">
      <c r="A21" s="1" t="s">
        <v>21</v>
      </c>
      <c r="B21" s="5">
        <f t="shared" si="0"/>
        <v>1010.5791666666668</v>
      </c>
      <c r="C21" s="1">
        <v>12126.95</v>
      </c>
    </row>
    <row r="22" spans="1:3" ht="15.5">
      <c r="A22" s="1" t="s">
        <v>22</v>
      </c>
      <c r="B22" s="5">
        <f t="shared" si="0"/>
        <v>4346.1899999999996</v>
      </c>
      <c r="C22" s="1">
        <v>52154.28</v>
      </c>
    </row>
    <row r="23" spans="1:3" ht="15.5">
      <c r="A23" s="1" t="s">
        <v>23</v>
      </c>
      <c r="B23" s="5">
        <f t="shared" si="0"/>
        <v>1511.0016666666668</v>
      </c>
      <c r="C23" s="1">
        <v>18132.02</v>
      </c>
    </row>
    <row r="24" spans="1:3" ht="15.5">
      <c r="A24" s="1" t="s">
        <v>24</v>
      </c>
      <c r="B24" s="5">
        <f t="shared" si="0"/>
        <v>2780.375</v>
      </c>
      <c r="C24" s="1">
        <v>33364.5</v>
      </c>
    </row>
    <row r="25" spans="1:3" ht="15.5">
      <c r="A25" s="1" t="s">
        <v>25</v>
      </c>
      <c r="B25" s="5">
        <f t="shared" si="0"/>
        <v>242.87166666666667</v>
      </c>
      <c r="C25" s="1">
        <v>2914.46</v>
      </c>
    </row>
    <row r="26" spans="1:3" ht="15.5">
      <c r="A26" s="1" t="s">
        <v>26</v>
      </c>
      <c r="B26" s="5">
        <f t="shared" si="0"/>
        <v>8568.65</v>
      </c>
      <c r="C26" s="1">
        <v>102823.8</v>
      </c>
    </row>
    <row r="27" spans="1:3" ht="15.5">
      <c r="A27" s="1" t="s">
        <v>27</v>
      </c>
      <c r="B27" s="5">
        <f t="shared" si="0"/>
        <v>9883.2216666666664</v>
      </c>
      <c r="C27" s="1">
        <v>118598.66</v>
      </c>
    </row>
    <row r="28" spans="1:3" ht="15.5">
      <c r="A28" s="2" t="s">
        <v>28</v>
      </c>
      <c r="B28" s="5">
        <f t="shared" si="0"/>
        <v>53570.158333333333</v>
      </c>
      <c r="C28" s="2">
        <f>SUM(C13:C27)</f>
        <v>642841.9</v>
      </c>
    </row>
    <row r="29" spans="1:3" ht="33" customHeight="1">
      <c r="A29" s="2" t="s">
        <v>29</v>
      </c>
      <c r="B29" s="1"/>
      <c r="C29" s="2">
        <v>16775.509999999998</v>
      </c>
    </row>
    <row r="30" spans="1:3" ht="23.5" customHeight="1">
      <c r="A30" s="2" t="s">
        <v>30</v>
      </c>
      <c r="B30" s="1"/>
      <c r="C30" s="2"/>
    </row>
    <row r="31" spans="1:3" ht="31">
      <c r="A31" s="3" t="s">
        <v>31</v>
      </c>
      <c r="B31" s="1"/>
      <c r="C31" s="1">
        <v>180877.87</v>
      </c>
    </row>
    <row r="32" spans="1:3" ht="1" customHeight="1">
      <c r="A32" s="3" t="s">
        <v>32</v>
      </c>
      <c r="B32" s="1"/>
      <c r="C32" s="1"/>
    </row>
    <row r="33" spans="1:3" ht="47" customHeight="1">
      <c r="A33" s="2" t="s">
        <v>33</v>
      </c>
      <c r="B33" s="2"/>
      <c r="C33" s="2">
        <v>-164102.26</v>
      </c>
    </row>
    <row r="34" spans="1:3" ht="42.5" customHeight="1">
      <c r="A34" s="1" t="s">
        <v>34</v>
      </c>
      <c r="B34" s="1"/>
      <c r="C34" s="1"/>
    </row>
    <row r="35" spans="1:3" ht="30" customHeight="1">
      <c r="A35" s="1" t="s">
        <v>35</v>
      </c>
      <c r="B35" s="1"/>
      <c r="C35" s="1"/>
    </row>
    <row r="36" spans="1:3" ht="39.5" customHeight="1">
      <c r="A36" s="1" t="s">
        <v>64</v>
      </c>
      <c r="B36" s="1"/>
      <c r="C36" s="1"/>
    </row>
    <row r="37" spans="1:3" ht="15.5">
      <c r="A37" s="1" t="s">
        <v>36</v>
      </c>
      <c r="B37" s="1"/>
      <c r="C37" s="1"/>
    </row>
  </sheetData>
  <pageMargins left="0.7" right="0.7" top="0.75" bottom="0.75" header="0.3" footer="0.3"/>
  <pageSetup paperSize="9" orientation="portrait" verticalDpi="0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C37"/>
  <sheetViews>
    <sheetView workbookViewId="0">
      <selection activeCell="C10" sqref="C10"/>
    </sheetView>
  </sheetViews>
  <sheetFormatPr defaultRowHeight="14.5"/>
  <cols>
    <col min="1" max="1" width="44" customWidth="1"/>
    <col min="2" max="2" width="15.08984375" customWidth="1"/>
    <col min="3" max="3" width="14.26953125" customWidth="1"/>
  </cols>
  <sheetData>
    <row r="1" spans="1:3" ht="15.5">
      <c r="A1" s="1" t="s">
        <v>0</v>
      </c>
      <c r="B1" s="1"/>
      <c r="C1" s="1"/>
    </row>
    <row r="2" spans="1:3" ht="15.5">
      <c r="A2" s="1" t="s">
        <v>107</v>
      </c>
      <c r="B2" s="1" t="s">
        <v>97</v>
      </c>
      <c r="C2" s="1"/>
    </row>
    <row r="3" spans="1:3" ht="15.5">
      <c r="A3" s="1" t="s">
        <v>3</v>
      </c>
      <c r="B3" s="1"/>
      <c r="C3" s="1"/>
    </row>
    <row r="4" spans="1:3" ht="15.5">
      <c r="A4" s="1" t="s">
        <v>4</v>
      </c>
      <c r="B4" s="1"/>
      <c r="C4" s="1"/>
    </row>
    <row r="5" spans="1:3" ht="15.5">
      <c r="A5" s="1" t="s">
        <v>116</v>
      </c>
      <c r="B5" s="1"/>
      <c r="C5" s="1"/>
    </row>
    <row r="6" spans="1:3" ht="15.5">
      <c r="A6" s="1"/>
      <c r="B6" s="1"/>
      <c r="C6" s="1"/>
    </row>
    <row r="7" spans="1:3" ht="15.5">
      <c r="A7" s="1" t="s">
        <v>5</v>
      </c>
      <c r="B7" s="1" t="s">
        <v>6</v>
      </c>
      <c r="C7" s="1" t="s">
        <v>7</v>
      </c>
    </row>
    <row r="8" spans="1:3" ht="15.5">
      <c r="A8" s="2" t="s">
        <v>8</v>
      </c>
      <c r="B8" s="1"/>
      <c r="C8" s="2">
        <v>985.12</v>
      </c>
    </row>
    <row r="9" spans="1:3" ht="46.5">
      <c r="A9" s="3" t="s">
        <v>9</v>
      </c>
      <c r="B9" s="5">
        <f>C9/12</f>
        <v>70670.002500000002</v>
      </c>
      <c r="C9" s="1">
        <v>848040.03</v>
      </c>
    </row>
    <row r="10" spans="1:3" ht="46.5">
      <c r="A10" s="3" t="s">
        <v>10</v>
      </c>
      <c r="B10" s="5">
        <f t="shared" ref="B10:B28" si="0">C10/12</f>
        <v>2891.6649999999995</v>
      </c>
      <c r="C10" s="1">
        <f>30370+4329.98</f>
        <v>34699.979999999996</v>
      </c>
    </row>
    <row r="11" spans="1:3" ht="15.5">
      <c r="A11" s="2" t="s">
        <v>11</v>
      </c>
      <c r="B11" s="5">
        <f t="shared" si="0"/>
        <v>73561.667499999996</v>
      </c>
      <c r="C11" s="2">
        <f>SUM(C9:C10)</f>
        <v>882740.01</v>
      </c>
    </row>
    <row r="12" spans="1:3" ht="15.5">
      <c r="A12" s="2" t="s">
        <v>12</v>
      </c>
      <c r="B12" s="5">
        <f t="shared" si="0"/>
        <v>0</v>
      </c>
      <c r="C12" s="1"/>
    </row>
    <row r="13" spans="1:3" ht="77.5">
      <c r="A13" s="3" t="s">
        <v>13</v>
      </c>
      <c r="B13" s="5">
        <f t="shared" si="0"/>
        <v>18112.683333333331</v>
      </c>
      <c r="C13" s="1">
        <f>177977.58+39374.62</f>
        <v>217352.19999999998</v>
      </c>
    </row>
    <row r="14" spans="1:3" ht="77.5">
      <c r="A14" s="3" t="s">
        <v>14</v>
      </c>
      <c r="B14" s="5">
        <f t="shared" si="0"/>
        <v>13275.378333333334</v>
      </c>
      <c r="C14" s="1">
        <f>53011.8+106292.74</f>
        <v>159304.54</v>
      </c>
    </row>
    <row r="15" spans="1:3" ht="62">
      <c r="A15" s="3" t="s">
        <v>15</v>
      </c>
      <c r="B15" s="5">
        <f t="shared" si="0"/>
        <v>0</v>
      </c>
      <c r="C15" s="1"/>
    </row>
    <row r="16" spans="1:3" ht="15.5">
      <c r="A16" s="1" t="s">
        <v>16</v>
      </c>
      <c r="B16" s="5">
        <f t="shared" si="0"/>
        <v>706.75</v>
      </c>
      <c r="C16" s="1">
        <v>8481</v>
      </c>
    </row>
    <row r="17" spans="1:3" ht="15.5">
      <c r="A17" s="1" t="s">
        <v>17</v>
      </c>
      <c r="B17" s="5">
        <f t="shared" si="0"/>
        <v>2511.7000000000003</v>
      </c>
      <c r="C17" s="1">
        <v>30140.400000000001</v>
      </c>
    </row>
    <row r="18" spans="1:3" ht="15.5">
      <c r="A18" s="1" t="s">
        <v>18</v>
      </c>
      <c r="B18" s="5">
        <f t="shared" si="0"/>
        <v>269.46999999999997</v>
      </c>
      <c r="C18" s="1">
        <v>3233.64</v>
      </c>
    </row>
    <row r="19" spans="1:3" ht="15.5">
      <c r="A19" s="1" t="s">
        <v>19</v>
      </c>
      <c r="B19" s="5">
        <f t="shared" si="0"/>
        <v>0</v>
      </c>
      <c r="C19" s="1"/>
    </row>
    <row r="20" spans="1:3" ht="15.5">
      <c r="A20" s="1" t="s">
        <v>20</v>
      </c>
      <c r="B20" s="5">
        <f t="shared" si="0"/>
        <v>1398.8166666666666</v>
      </c>
      <c r="C20" s="1">
        <v>16785.8</v>
      </c>
    </row>
    <row r="21" spans="1:3" ht="15.5">
      <c r="A21" s="1" t="s">
        <v>21</v>
      </c>
      <c r="B21" s="5">
        <f t="shared" si="0"/>
        <v>1604.1949999999999</v>
      </c>
      <c r="C21" s="1">
        <v>19250.34</v>
      </c>
    </row>
    <row r="22" spans="1:3" ht="15.5">
      <c r="A22" s="1" t="s">
        <v>22</v>
      </c>
      <c r="B22" s="5">
        <f t="shared" si="0"/>
        <v>6263.8791666666666</v>
      </c>
      <c r="C22" s="1">
        <v>75166.55</v>
      </c>
    </row>
    <row r="23" spans="1:3" ht="15.5">
      <c r="A23" s="1" t="s">
        <v>23</v>
      </c>
      <c r="B23" s="5">
        <f t="shared" si="0"/>
        <v>786.5866666666667</v>
      </c>
      <c r="C23" s="1">
        <v>9439.0400000000009</v>
      </c>
    </row>
    <row r="24" spans="1:3" ht="15.5">
      <c r="A24" s="1" t="s">
        <v>24</v>
      </c>
      <c r="B24" s="5">
        <f t="shared" si="0"/>
        <v>4374.5999999999995</v>
      </c>
      <c r="C24" s="1">
        <v>52495.199999999997</v>
      </c>
    </row>
    <row r="25" spans="1:3" ht="15.5">
      <c r="A25" s="1" t="s">
        <v>25</v>
      </c>
      <c r="B25" s="5">
        <f t="shared" si="0"/>
        <v>284.88</v>
      </c>
      <c r="C25" s="1">
        <v>3418.56</v>
      </c>
    </row>
    <row r="26" spans="1:3" ht="15.5">
      <c r="A26" s="1" t="s">
        <v>26</v>
      </c>
      <c r="B26" s="5">
        <f t="shared" si="0"/>
        <v>0</v>
      </c>
      <c r="C26" s="1"/>
    </row>
    <row r="27" spans="1:3" ht="15.5">
      <c r="A27" s="1" t="s">
        <v>27</v>
      </c>
      <c r="B27" s="5">
        <f t="shared" si="0"/>
        <v>14244.039166666667</v>
      </c>
      <c r="C27" s="1">
        <v>170928.47</v>
      </c>
    </row>
    <row r="28" spans="1:3" ht="20.5" customHeight="1">
      <c r="A28" s="2" t="s">
        <v>28</v>
      </c>
      <c r="B28" s="5">
        <f t="shared" si="0"/>
        <v>63832.97833333334</v>
      </c>
      <c r="C28" s="2">
        <f>SUM(C13:C27)</f>
        <v>765995.74000000011</v>
      </c>
    </row>
    <row r="29" spans="1:3" ht="27" customHeight="1">
      <c r="A29" s="2" t="s">
        <v>29</v>
      </c>
      <c r="B29" s="1"/>
      <c r="C29" s="2">
        <v>117729.39</v>
      </c>
    </row>
    <row r="30" spans="1:3" ht="29" customHeight="1">
      <c r="A30" s="2" t="s">
        <v>30</v>
      </c>
      <c r="B30" s="1"/>
      <c r="C30" s="2"/>
    </row>
    <row r="31" spans="1:3" ht="45" customHeight="1">
      <c r="A31" s="3" t="s">
        <v>31</v>
      </c>
      <c r="B31" s="1"/>
      <c r="C31" s="1">
        <v>121451.01</v>
      </c>
    </row>
    <row r="32" spans="1:3" ht="0.5" customHeight="1">
      <c r="A32" s="3" t="s">
        <v>32</v>
      </c>
      <c r="B32" s="1"/>
      <c r="C32" s="1">
        <f>-B30</f>
        <v>0</v>
      </c>
    </row>
    <row r="33" spans="1:3" ht="32.5" customHeight="1">
      <c r="A33" s="2" t="s">
        <v>33</v>
      </c>
      <c r="B33" s="2"/>
      <c r="C33" s="2">
        <v>-3721.62</v>
      </c>
    </row>
    <row r="34" spans="1:3" ht="32" customHeight="1">
      <c r="A34" s="1" t="s">
        <v>34</v>
      </c>
      <c r="B34" s="1"/>
      <c r="C34" s="1"/>
    </row>
    <row r="35" spans="1:3" ht="37.5" customHeight="1">
      <c r="A35" s="1" t="s">
        <v>35</v>
      </c>
      <c r="B35" s="1"/>
      <c r="C35" s="1"/>
    </row>
    <row r="36" spans="1:3" ht="33.5" customHeight="1">
      <c r="A36" s="1" t="s">
        <v>64</v>
      </c>
      <c r="B36" s="1"/>
      <c r="C36" s="1"/>
    </row>
    <row r="37" spans="1:3" ht="15.5">
      <c r="A37" s="1" t="s">
        <v>36</v>
      </c>
      <c r="B37" s="1"/>
      <c r="C37" s="1"/>
    </row>
  </sheetData>
  <pageMargins left="0.7" right="0.7" top="0.75" bottom="0.75" header="0.3" footer="0.3"/>
  <pageSetup paperSize="9" orientation="portrait" verticalDpi="0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C37"/>
  <sheetViews>
    <sheetView topLeftCell="A21" workbookViewId="0">
      <selection activeCell="C34" sqref="C34"/>
    </sheetView>
  </sheetViews>
  <sheetFormatPr defaultRowHeight="14.5"/>
  <cols>
    <col min="1" max="1" width="46.36328125" customWidth="1"/>
    <col min="2" max="2" width="17.6328125" customWidth="1"/>
    <col min="3" max="3" width="13.90625" customWidth="1"/>
  </cols>
  <sheetData>
    <row r="1" spans="1:3" ht="15.5">
      <c r="A1" s="1" t="s">
        <v>0</v>
      </c>
      <c r="B1" s="1"/>
      <c r="C1" s="1"/>
    </row>
    <row r="2" spans="1:3" ht="15.5">
      <c r="A2" s="1" t="s">
        <v>108</v>
      </c>
      <c r="B2" s="1" t="s">
        <v>97</v>
      </c>
      <c r="C2" s="1"/>
    </row>
    <row r="3" spans="1:3" ht="15.5">
      <c r="A3" s="1" t="s">
        <v>3</v>
      </c>
      <c r="B3" s="1"/>
      <c r="C3" s="1"/>
    </row>
    <row r="4" spans="1:3" ht="15.5">
      <c r="A4" s="1" t="s">
        <v>4</v>
      </c>
      <c r="B4" s="1"/>
      <c r="C4" s="1"/>
    </row>
    <row r="5" spans="1:3" ht="15.5">
      <c r="A5" s="1" t="s">
        <v>116</v>
      </c>
      <c r="B5" s="1"/>
      <c r="C5" s="1"/>
    </row>
    <row r="6" spans="1:3" ht="15.5">
      <c r="A6" s="1"/>
      <c r="B6" s="1"/>
      <c r="C6" s="1"/>
    </row>
    <row r="7" spans="1:3" ht="15.5">
      <c r="A7" s="1" t="s">
        <v>5</v>
      </c>
      <c r="B7" s="1" t="s">
        <v>6</v>
      </c>
      <c r="C7" s="1" t="s">
        <v>7</v>
      </c>
    </row>
    <row r="8" spans="1:3" ht="15.5">
      <c r="A8" s="2" t="s">
        <v>8</v>
      </c>
      <c r="B8" s="1"/>
      <c r="C8" s="2">
        <v>-119464.57</v>
      </c>
    </row>
    <row r="9" spans="1:3" ht="46.5">
      <c r="A9" s="3" t="s">
        <v>9</v>
      </c>
      <c r="B9" s="5">
        <f>C9/12</f>
        <v>259912.04500000001</v>
      </c>
      <c r="C9" s="1">
        <v>3118944.54</v>
      </c>
    </row>
    <row r="10" spans="1:3" ht="46.5">
      <c r="A10" s="3" t="s">
        <v>10</v>
      </c>
      <c r="B10" s="5">
        <f t="shared" ref="B10:B28" si="0">C10/12</f>
        <v>22483.078333333335</v>
      </c>
      <c r="C10" s="1">
        <f>174860.94+94936</f>
        <v>269796.94</v>
      </c>
    </row>
    <row r="11" spans="1:3" ht="15.5">
      <c r="A11" s="2" t="s">
        <v>11</v>
      </c>
      <c r="B11" s="5">
        <f t="shared" si="0"/>
        <v>282395.12333333335</v>
      </c>
      <c r="C11" s="2">
        <f>SUM(C9:C10)</f>
        <v>3388741.48</v>
      </c>
    </row>
    <row r="12" spans="1:3" ht="15.5">
      <c r="A12" s="2" t="s">
        <v>12</v>
      </c>
      <c r="B12" s="5">
        <f t="shared" si="0"/>
        <v>0</v>
      </c>
      <c r="C12" s="1"/>
    </row>
    <row r="13" spans="1:3" ht="77.5">
      <c r="A13" s="3" t="s">
        <v>13</v>
      </c>
      <c r="B13" s="5">
        <f t="shared" si="0"/>
        <v>65391.1</v>
      </c>
      <c r="C13" s="1">
        <f>642541.32+142151.88</f>
        <v>784693.2</v>
      </c>
    </row>
    <row r="14" spans="1:3" ht="77.5">
      <c r="A14" s="3" t="s">
        <v>14</v>
      </c>
      <c r="B14" s="5">
        <f t="shared" si="0"/>
        <v>58803.984999999993</v>
      </c>
      <c r="C14" s="1">
        <f>463531.22+242116.6</f>
        <v>705647.82</v>
      </c>
    </row>
    <row r="15" spans="1:3" ht="46.5">
      <c r="A15" s="3" t="s">
        <v>15</v>
      </c>
      <c r="B15" s="5">
        <f t="shared" si="0"/>
        <v>12961.394999999999</v>
      </c>
      <c r="C15" s="1">
        <v>155536.74</v>
      </c>
    </row>
    <row r="16" spans="1:3" ht="15.5">
      <c r="A16" s="1" t="s">
        <v>16</v>
      </c>
      <c r="B16" s="5">
        <f t="shared" si="0"/>
        <v>14219.833333333334</v>
      </c>
      <c r="C16" s="1">
        <v>170638</v>
      </c>
    </row>
    <row r="17" spans="1:3" ht="15.5">
      <c r="A17" s="1" t="s">
        <v>17</v>
      </c>
      <c r="B17" s="5">
        <f t="shared" si="0"/>
        <v>7535.16</v>
      </c>
      <c r="C17" s="1">
        <v>90421.92</v>
      </c>
    </row>
    <row r="18" spans="1:3" ht="15.5">
      <c r="A18" s="1" t="s">
        <v>18</v>
      </c>
      <c r="B18" s="5">
        <f t="shared" si="0"/>
        <v>343.84999999999997</v>
      </c>
      <c r="C18" s="1">
        <v>4126.2</v>
      </c>
    </row>
    <row r="19" spans="1:3" ht="15.5">
      <c r="A19" s="1" t="s">
        <v>19</v>
      </c>
      <c r="B19" s="5">
        <f t="shared" si="0"/>
        <v>38856.283333333333</v>
      </c>
      <c r="C19" s="1">
        <v>466275.4</v>
      </c>
    </row>
    <row r="20" spans="1:3" ht="15.5">
      <c r="A20" s="1" t="s">
        <v>20</v>
      </c>
      <c r="B20" s="5">
        <f t="shared" si="0"/>
        <v>2680.0858333333331</v>
      </c>
      <c r="C20" s="1">
        <v>32161.03</v>
      </c>
    </row>
    <row r="21" spans="1:3" ht="15.5">
      <c r="A21" s="1" t="s">
        <v>21</v>
      </c>
      <c r="B21" s="5">
        <f t="shared" si="0"/>
        <v>6148.814166666667</v>
      </c>
      <c r="C21" s="1">
        <v>73785.77</v>
      </c>
    </row>
    <row r="22" spans="1:3" ht="15.5">
      <c r="A22" s="1" t="s">
        <v>22</v>
      </c>
      <c r="B22" s="5">
        <f t="shared" si="0"/>
        <v>19515.699166666669</v>
      </c>
      <c r="C22" s="1">
        <v>234188.39</v>
      </c>
    </row>
    <row r="23" spans="1:3" ht="15.5">
      <c r="A23" s="1" t="s">
        <v>23</v>
      </c>
      <c r="B23" s="5">
        <f t="shared" si="0"/>
        <v>35.695</v>
      </c>
      <c r="C23" s="1">
        <v>428.34</v>
      </c>
    </row>
    <row r="24" spans="1:3" ht="15.5">
      <c r="A24" s="1" t="s">
        <v>24</v>
      </c>
      <c r="B24" s="5">
        <f t="shared" si="0"/>
        <v>16793.606666666667</v>
      </c>
      <c r="C24" s="1">
        <v>201523.28</v>
      </c>
    </row>
    <row r="25" spans="1:3" ht="15.5">
      <c r="A25" s="1" t="s">
        <v>25</v>
      </c>
      <c r="B25" s="5">
        <f t="shared" si="0"/>
        <v>0</v>
      </c>
      <c r="C25" s="1"/>
    </row>
    <row r="26" spans="1:3" ht="15.5">
      <c r="A26" s="1" t="s">
        <v>26</v>
      </c>
      <c r="B26" s="5">
        <f t="shared" si="0"/>
        <v>4082.8658333333333</v>
      </c>
      <c r="C26" s="1">
        <v>48994.39</v>
      </c>
    </row>
    <row r="27" spans="1:3" ht="15.5">
      <c r="A27" s="1" t="s">
        <v>27</v>
      </c>
      <c r="B27" s="5">
        <f t="shared" si="0"/>
        <v>44378.633333333331</v>
      </c>
      <c r="C27" s="1">
        <v>532543.6</v>
      </c>
    </row>
    <row r="28" spans="1:3" ht="15.5">
      <c r="A28" s="2" t="s">
        <v>28</v>
      </c>
      <c r="B28" s="5">
        <f t="shared" si="0"/>
        <v>291747.00666666665</v>
      </c>
      <c r="C28" s="2">
        <f>SUM(C13:C27)</f>
        <v>3500964.0799999996</v>
      </c>
    </row>
    <row r="29" spans="1:3" ht="21.5" customHeight="1">
      <c r="A29" s="2" t="s">
        <v>29</v>
      </c>
      <c r="B29" s="1"/>
      <c r="C29" s="2"/>
    </row>
    <row r="30" spans="1:3" ht="27.5" customHeight="1">
      <c r="A30" s="2" t="s">
        <v>30</v>
      </c>
      <c r="B30" s="1"/>
      <c r="C30" s="2">
        <v>231687.17</v>
      </c>
    </row>
    <row r="31" spans="1:3" ht="31">
      <c r="A31" s="3" t="s">
        <v>31</v>
      </c>
      <c r="B31" s="1"/>
      <c r="C31" s="1">
        <v>176567.53</v>
      </c>
    </row>
    <row r="32" spans="1:3" ht="62" hidden="1">
      <c r="A32" s="3" t="s">
        <v>32</v>
      </c>
      <c r="B32" s="1"/>
      <c r="C32" s="1"/>
    </row>
    <row r="33" spans="1:3" ht="22" customHeight="1">
      <c r="A33" s="2" t="s">
        <v>33</v>
      </c>
      <c r="B33" s="2"/>
      <c r="C33" s="2">
        <v>-408254.7</v>
      </c>
    </row>
    <row r="34" spans="1:3" ht="39" customHeight="1">
      <c r="A34" s="1" t="s">
        <v>34</v>
      </c>
      <c r="B34" s="1"/>
      <c r="C34" s="1"/>
    </row>
    <row r="35" spans="1:3" ht="34" customHeight="1">
      <c r="A35" s="1" t="s">
        <v>35</v>
      </c>
      <c r="B35" s="1"/>
      <c r="C35" s="1"/>
    </row>
    <row r="36" spans="1:3" ht="40" customHeight="1">
      <c r="A36" s="1" t="s">
        <v>64</v>
      </c>
      <c r="B36" s="1"/>
      <c r="C36" s="1"/>
    </row>
    <row r="37" spans="1:3" ht="30" customHeight="1">
      <c r="A37" s="1" t="s">
        <v>36</v>
      </c>
      <c r="B37" s="1"/>
      <c r="C37" s="1"/>
    </row>
  </sheetData>
  <pageMargins left="0.7" right="0.7" top="0.75" bottom="0.75" header="0.3" footer="0.3"/>
  <pageSetup paperSize="9" orientation="portrait" verticalDpi="0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C37"/>
  <sheetViews>
    <sheetView topLeftCell="A20" workbookViewId="0">
      <selection activeCell="A34" sqref="A34"/>
    </sheetView>
  </sheetViews>
  <sheetFormatPr defaultRowHeight="14.5"/>
  <cols>
    <col min="1" max="1" width="47.453125" customWidth="1"/>
    <col min="2" max="2" width="16" customWidth="1"/>
    <col min="3" max="3" width="14.453125" customWidth="1"/>
  </cols>
  <sheetData>
    <row r="1" spans="1:3" ht="15.5">
      <c r="A1" s="1" t="s">
        <v>0</v>
      </c>
      <c r="B1" s="1"/>
      <c r="C1" s="1"/>
    </row>
    <row r="2" spans="1:3" ht="15.5">
      <c r="A2" s="1" t="s">
        <v>109</v>
      </c>
      <c r="B2" s="1" t="s">
        <v>97</v>
      </c>
      <c r="C2" s="1"/>
    </row>
    <row r="3" spans="1:3" ht="15.5">
      <c r="A3" s="1" t="s">
        <v>3</v>
      </c>
      <c r="B3" s="1"/>
      <c r="C3" s="1"/>
    </row>
    <row r="4" spans="1:3" ht="15.5">
      <c r="A4" s="1" t="s">
        <v>4</v>
      </c>
      <c r="B4" s="1"/>
      <c r="C4" s="1"/>
    </row>
    <row r="5" spans="1:3" ht="15.5">
      <c r="A5" s="1" t="s">
        <v>116</v>
      </c>
      <c r="B5" s="1"/>
      <c r="C5" s="1"/>
    </row>
    <row r="6" spans="1:3" ht="15.5">
      <c r="A6" s="1"/>
      <c r="B6" s="1"/>
      <c r="C6" s="1"/>
    </row>
    <row r="7" spans="1:3" ht="15.5">
      <c r="A7" s="1" t="s">
        <v>5</v>
      </c>
      <c r="B7" s="1" t="s">
        <v>6</v>
      </c>
      <c r="C7" s="1" t="s">
        <v>7</v>
      </c>
    </row>
    <row r="8" spans="1:3" ht="15.5">
      <c r="A8" s="2" t="s">
        <v>8</v>
      </c>
      <c r="B8" s="1"/>
      <c r="C8" s="2">
        <v>-88183.22</v>
      </c>
    </row>
    <row r="9" spans="1:3" ht="31" customHeight="1">
      <c r="A9" s="3" t="s">
        <v>9</v>
      </c>
      <c r="B9" s="5">
        <f>C9/12</f>
        <v>111201.20416666666</v>
      </c>
      <c r="C9" s="1">
        <v>1334414.45</v>
      </c>
    </row>
    <row r="10" spans="1:3" ht="46.5" customHeight="1">
      <c r="A10" s="3" t="s">
        <v>10</v>
      </c>
      <c r="B10" s="5">
        <f t="shared" ref="B10:B28" si="0">C10/12</f>
        <v>1511.25</v>
      </c>
      <c r="C10" s="1">
        <v>18135</v>
      </c>
    </row>
    <row r="11" spans="1:3" ht="15.5">
      <c r="A11" s="2" t="s">
        <v>11</v>
      </c>
      <c r="B11" s="5">
        <f t="shared" si="0"/>
        <v>112712.45416666666</v>
      </c>
      <c r="C11" s="2">
        <f>SUM(C9:C10)</f>
        <v>1352549.45</v>
      </c>
    </row>
    <row r="12" spans="1:3" ht="15.5">
      <c r="A12" s="2" t="s">
        <v>12</v>
      </c>
      <c r="B12" s="5">
        <f t="shared" si="0"/>
        <v>0</v>
      </c>
      <c r="C12" s="1"/>
    </row>
    <row r="13" spans="1:3" ht="79.5" customHeight="1">
      <c r="A13" s="3" t="s">
        <v>13</v>
      </c>
      <c r="B13" s="5">
        <f t="shared" si="0"/>
        <v>22564.928333333333</v>
      </c>
      <c r="C13" s="1">
        <f>221725.86+49053.28</f>
        <v>270779.14</v>
      </c>
    </row>
    <row r="14" spans="1:3" ht="77.5">
      <c r="A14" s="3" t="s">
        <v>14</v>
      </c>
      <c r="B14" s="5">
        <f t="shared" si="0"/>
        <v>13895.973333333333</v>
      </c>
      <c r="C14" s="1">
        <f>74400.64+92351.04</f>
        <v>166751.67999999999</v>
      </c>
    </row>
    <row r="15" spans="1:3" ht="47.5" customHeight="1">
      <c r="A15" s="3" t="s">
        <v>15</v>
      </c>
      <c r="B15" s="5">
        <f t="shared" si="0"/>
        <v>8302.07</v>
      </c>
      <c r="C15" s="1">
        <v>99624.84</v>
      </c>
    </row>
    <row r="16" spans="1:3" ht="15.5">
      <c r="A16" s="1" t="s">
        <v>16</v>
      </c>
      <c r="B16" s="5">
        <f t="shared" si="0"/>
        <v>19161.333333333332</v>
      </c>
      <c r="C16" s="1">
        <v>229936</v>
      </c>
    </row>
    <row r="17" spans="1:3" ht="15.5">
      <c r="A17" s="1" t="s">
        <v>17</v>
      </c>
      <c r="B17" s="5">
        <f t="shared" si="0"/>
        <v>3077</v>
      </c>
      <c r="C17" s="1">
        <v>36924</v>
      </c>
    </row>
    <row r="18" spans="1:3" ht="15.5">
      <c r="A18" s="1" t="s">
        <v>18</v>
      </c>
      <c r="B18" s="5">
        <f t="shared" si="0"/>
        <v>229.75</v>
      </c>
      <c r="C18" s="1">
        <v>2757</v>
      </c>
    </row>
    <row r="19" spans="1:3" ht="15.5">
      <c r="A19" s="1" t="s">
        <v>19</v>
      </c>
      <c r="B19" s="5">
        <f t="shared" si="0"/>
        <v>16518.605</v>
      </c>
      <c r="C19" s="1">
        <v>198223.26</v>
      </c>
    </row>
    <row r="20" spans="1:3" ht="15.5">
      <c r="A20" s="1" t="s">
        <v>20</v>
      </c>
      <c r="B20" s="5">
        <f t="shared" si="0"/>
        <v>1175.4766666666667</v>
      </c>
      <c r="C20" s="1">
        <v>14105.72</v>
      </c>
    </row>
    <row r="21" spans="1:3" ht="15.5">
      <c r="A21" s="1" t="s">
        <v>21</v>
      </c>
      <c r="B21" s="5">
        <f t="shared" si="0"/>
        <v>2445.2216666666668</v>
      </c>
      <c r="C21" s="1">
        <v>29342.66</v>
      </c>
    </row>
    <row r="22" spans="1:3" ht="15.5">
      <c r="A22" s="1" t="s">
        <v>22</v>
      </c>
      <c r="B22" s="5">
        <f t="shared" si="0"/>
        <v>7711.7441666666664</v>
      </c>
      <c r="C22" s="1">
        <v>92540.93</v>
      </c>
    </row>
    <row r="23" spans="1:3" ht="15.5">
      <c r="A23" s="1" t="s">
        <v>23</v>
      </c>
      <c r="B23" s="5">
        <f t="shared" si="0"/>
        <v>138.36583333333334</v>
      </c>
      <c r="C23" s="1">
        <v>1660.39</v>
      </c>
    </row>
    <row r="24" spans="1:3" ht="15.5">
      <c r="A24" s="1" t="s">
        <v>24</v>
      </c>
      <c r="B24" s="5">
        <f t="shared" si="0"/>
        <v>6702.8375000000005</v>
      </c>
      <c r="C24" s="1">
        <v>80434.05</v>
      </c>
    </row>
    <row r="25" spans="1:3" ht="15.5">
      <c r="A25" s="1" t="s">
        <v>25</v>
      </c>
      <c r="B25" s="5">
        <f t="shared" si="0"/>
        <v>202.88250000000002</v>
      </c>
      <c r="C25" s="1">
        <v>2434.59</v>
      </c>
    </row>
    <row r="26" spans="1:3" ht="15.5">
      <c r="A26" s="1" t="s">
        <v>26</v>
      </c>
      <c r="B26" s="5">
        <f t="shared" si="0"/>
        <v>6250.2491666666674</v>
      </c>
      <c r="C26" s="1">
        <v>75002.990000000005</v>
      </c>
    </row>
    <row r="27" spans="1:3" ht="15.5">
      <c r="A27" s="1" t="s">
        <v>27</v>
      </c>
      <c r="B27" s="5">
        <f t="shared" si="0"/>
        <v>17536.48</v>
      </c>
      <c r="C27" s="1">
        <v>210437.76000000001</v>
      </c>
    </row>
    <row r="28" spans="1:3" ht="15.5">
      <c r="A28" s="2" t="s">
        <v>28</v>
      </c>
      <c r="B28" s="5">
        <f t="shared" si="0"/>
        <v>125912.9175</v>
      </c>
      <c r="C28" s="2">
        <f>SUM(C13:C27)</f>
        <v>1510955.01</v>
      </c>
    </row>
    <row r="29" spans="1:3" ht="25" customHeight="1">
      <c r="A29" s="2" t="s">
        <v>29</v>
      </c>
      <c r="B29" s="1"/>
      <c r="C29" s="2"/>
    </row>
    <row r="30" spans="1:3" ht="25" customHeight="1">
      <c r="A30" s="2" t="s">
        <v>30</v>
      </c>
      <c r="B30" s="1"/>
      <c r="C30" s="2">
        <v>246588.78</v>
      </c>
    </row>
    <row r="31" spans="1:3" ht="46.5" customHeight="1">
      <c r="A31" s="3" t="s">
        <v>31</v>
      </c>
      <c r="B31" s="1"/>
      <c r="C31" s="1">
        <v>242506.1</v>
      </c>
    </row>
    <row r="32" spans="1:3" ht="0.5" customHeight="1">
      <c r="A32" s="3" t="s">
        <v>32</v>
      </c>
      <c r="B32" s="1"/>
      <c r="C32" s="1"/>
    </row>
    <row r="33" spans="1:3" ht="25" customHeight="1">
      <c r="A33" s="2" t="s">
        <v>33</v>
      </c>
      <c r="B33" s="2"/>
      <c r="C33" s="2">
        <v>-489094.88</v>
      </c>
    </row>
    <row r="34" spans="1:3" ht="36.5" customHeight="1">
      <c r="A34" s="1" t="s">
        <v>34</v>
      </c>
      <c r="B34" s="1"/>
      <c r="C34" s="1"/>
    </row>
    <row r="35" spans="1:3" ht="24.5" customHeight="1">
      <c r="A35" s="1" t="s">
        <v>35</v>
      </c>
      <c r="B35" s="1"/>
      <c r="C35" s="1"/>
    </row>
    <row r="36" spans="1:3" ht="24.5" customHeight="1">
      <c r="A36" s="1" t="s">
        <v>64</v>
      </c>
      <c r="B36" s="1"/>
      <c r="C36" s="1"/>
    </row>
    <row r="37" spans="1:3" ht="28" customHeight="1">
      <c r="A37" s="1" t="s">
        <v>36</v>
      </c>
      <c r="B37" s="1"/>
      <c r="C37" s="1"/>
    </row>
  </sheetData>
  <pageMargins left="0.7" right="0.7" top="0.75" bottom="0.75" header="0.3" footer="0.3"/>
  <pageSetup paperSize="9" orientation="portrait" verticalDpi="0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7"/>
  <sheetViews>
    <sheetView workbookViewId="0">
      <selection activeCell="C34" sqref="C34"/>
    </sheetView>
  </sheetViews>
  <sheetFormatPr defaultRowHeight="14.5"/>
  <cols>
    <col min="1" max="1" width="43.81640625" customWidth="1"/>
    <col min="2" max="2" width="15.36328125" customWidth="1"/>
    <col min="3" max="3" width="15.7265625" customWidth="1"/>
  </cols>
  <sheetData>
    <row r="1" spans="1:3" ht="15.5">
      <c r="A1" s="1" t="s">
        <v>0</v>
      </c>
      <c r="B1" s="1"/>
      <c r="C1" s="1"/>
    </row>
    <row r="2" spans="1:3" ht="15.5">
      <c r="A2" s="1" t="s">
        <v>44</v>
      </c>
      <c r="B2" s="1" t="s">
        <v>2</v>
      </c>
      <c r="C2" s="1"/>
    </row>
    <row r="3" spans="1:3" ht="15.5">
      <c r="A3" s="1" t="s">
        <v>3</v>
      </c>
      <c r="B3" s="1"/>
      <c r="C3" s="1"/>
    </row>
    <row r="4" spans="1:3" ht="15.5">
      <c r="A4" s="1" t="s">
        <v>4</v>
      </c>
      <c r="B4" s="1"/>
      <c r="C4" s="1"/>
    </row>
    <row r="5" spans="1:3" ht="15.5">
      <c r="A5" s="1" t="s">
        <v>116</v>
      </c>
      <c r="B5" s="1"/>
      <c r="C5" s="1"/>
    </row>
    <row r="6" spans="1:3" ht="15.5">
      <c r="A6" s="1"/>
      <c r="B6" s="1"/>
      <c r="C6" s="1"/>
    </row>
    <row r="7" spans="1:3" ht="15.5">
      <c r="A7" s="1" t="s">
        <v>5</v>
      </c>
      <c r="B7" s="1" t="s">
        <v>6</v>
      </c>
      <c r="C7" s="1" t="s">
        <v>7</v>
      </c>
    </row>
    <row r="8" spans="1:3" ht="15.5">
      <c r="A8" s="2" t="s">
        <v>8</v>
      </c>
      <c r="B8" s="1"/>
      <c r="C8" s="2">
        <v>-85675.53</v>
      </c>
    </row>
    <row r="9" spans="1:3" ht="47.5" customHeight="1">
      <c r="A9" s="3" t="s">
        <v>9</v>
      </c>
      <c r="B9" s="4">
        <f>C9/12</f>
        <v>47194.327500000007</v>
      </c>
      <c r="C9" s="1">
        <v>566331.93000000005</v>
      </c>
    </row>
    <row r="10" spans="1:3" ht="49" customHeight="1">
      <c r="A10" s="3" t="s">
        <v>10</v>
      </c>
      <c r="B10" s="4">
        <f t="shared" ref="B10:B28" si="0">C10/12</f>
        <v>1869.4833333333333</v>
      </c>
      <c r="C10" s="1">
        <v>22433.8</v>
      </c>
    </row>
    <row r="11" spans="1:3" ht="15.5">
      <c r="A11" s="2" t="s">
        <v>11</v>
      </c>
      <c r="B11" s="4">
        <f t="shared" si="0"/>
        <v>49063.810833333344</v>
      </c>
      <c r="C11" s="2">
        <f>SUM(C9:C10)</f>
        <v>588765.7300000001</v>
      </c>
    </row>
    <row r="12" spans="1:3" ht="15.5">
      <c r="A12" s="2" t="s">
        <v>12</v>
      </c>
      <c r="B12" s="4">
        <f t="shared" si="0"/>
        <v>0</v>
      </c>
      <c r="C12" s="1"/>
    </row>
    <row r="13" spans="1:3" ht="77" customHeight="1">
      <c r="A13" s="3" t="s">
        <v>13</v>
      </c>
      <c r="B13" s="4">
        <f t="shared" si="0"/>
        <v>12833.75</v>
      </c>
      <c r="C13" s="1">
        <f>126106.08+27898.92</f>
        <v>154005</v>
      </c>
    </row>
    <row r="14" spans="1:3" ht="77.5" customHeight="1">
      <c r="A14" s="3" t="s">
        <v>14</v>
      </c>
      <c r="B14" s="4">
        <f t="shared" si="0"/>
        <v>11876.385</v>
      </c>
      <c r="C14" s="1">
        <f>53424.94+89091.68</f>
        <v>142516.62</v>
      </c>
    </row>
    <row r="15" spans="1:3" ht="58.5" customHeight="1">
      <c r="A15" s="3" t="s">
        <v>15</v>
      </c>
      <c r="B15" s="4">
        <f t="shared" si="0"/>
        <v>0</v>
      </c>
      <c r="C15" s="1"/>
    </row>
    <row r="16" spans="1:3" ht="15.5">
      <c r="A16" s="1" t="s">
        <v>16</v>
      </c>
      <c r="B16" s="4">
        <f t="shared" si="0"/>
        <v>8481.25</v>
      </c>
      <c r="C16" s="1">
        <v>101775</v>
      </c>
    </row>
    <row r="17" spans="1:3" ht="15.5">
      <c r="A17" s="1" t="s">
        <v>17</v>
      </c>
      <c r="B17" s="4">
        <f t="shared" si="0"/>
        <v>1709.3400000000001</v>
      </c>
      <c r="C17" s="1">
        <v>20512.080000000002</v>
      </c>
    </row>
    <row r="18" spans="1:3" ht="15.5">
      <c r="A18" s="1" t="s">
        <v>18</v>
      </c>
      <c r="B18" s="4">
        <f t="shared" si="0"/>
        <v>286.92</v>
      </c>
      <c r="C18" s="1">
        <v>3443.04</v>
      </c>
    </row>
    <row r="19" spans="1:3" ht="15.5">
      <c r="A19" s="1" t="s">
        <v>19</v>
      </c>
      <c r="B19" s="4">
        <f t="shared" si="0"/>
        <v>0</v>
      </c>
      <c r="C19" s="1"/>
    </row>
    <row r="20" spans="1:3" ht="15.5">
      <c r="A20" s="1" t="s">
        <v>20</v>
      </c>
      <c r="B20" s="4">
        <f t="shared" si="0"/>
        <v>1410.5716666666667</v>
      </c>
      <c r="C20" s="1">
        <v>16926.86</v>
      </c>
    </row>
    <row r="21" spans="1:3" ht="15.5">
      <c r="A21" s="1" t="s">
        <v>21</v>
      </c>
      <c r="B21" s="4">
        <f t="shared" si="0"/>
        <v>1072.1816666666666</v>
      </c>
      <c r="C21" s="1">
        <v>12866.18</v>
      </c>
    </row>
    <row r="22" spans="1:3" ht="15.5">
      <c r="A22" s="1" t="s">
        <v>22</v>
      </c>
      <c r="B22" s="4">
        <f t="shared" si="0"/>
        <v>4263.9516666666668</v>
      </c>
      <c r="C22" s="1">
        <v>51167.42</v>
      </c>
    </row>
    <row r="23" spans="1:3" ht="15.5">
      <c r="A23" s="1" t="s">
        <v>23</v>
      </c>
      <c r="B23" s="4">
        <f t="shared" si="0"/>
        <v>891.67000000000007</v>
      </c>
      <c r="C23" s="1">
        <v>10700.04</v>
      </c>
    </row>
    <row r="24" spans="1:3" ht="15.5">
      <c r="A24" s="1" t="s">
        <v>24</v>
      </c>
      <c r="B24" s="4">
        <f t="shared" si="0"/>
        <v>2917.75</v>
      </c>
      <c r="C24" s="1">
        <v>35013</v>
      </c>
    </row>
    <row r="25" spans="1:3" ht="15.5">
      <c r="A25" s="1" t="s">
        <v>25</v>
      </c>
      <c r="B25" s="4">
        <f t="shared" si="0"/>
        <v>187.16</v>
      </c>
      <c r="C25" s="1">
        <v>2245.92</v>
      </c>
    </row>
    <row r="26" spans="1:3" ht="15.5">
      <c r="A26" s="1" t="s">
        <v>26</v>
      </c>
      <c r="B26" s="4">
        <f t="shared" si="0"/>
        <v>0</v>
      </c>
      <c r="C26" s="1"/>
    </row>
    <row r="27" spans="1:3" ht="15.5">
      <c r="A27" s="1" t="s">
        <v>27</v>
      </c>
      <c r="B27" s="4">
        <f t="shared" si="0"/>
        <v>9696.2116666666661</v>
      </c>
      <c r="C27" s="1">
        <v>116354.54</v>
      </c>
    </row>
    <row r="28" spans="1:3" ht="15.5">
      <c r="A28" s="2" t="s">
        <v>28</v>
      </c>
      <c r="B28" s="4">
        <f t="shared" si="0"/>
        <v>55627.14166666667</v>
      </c>
      <c r="C28" s="2">
        <f>SUM(C13:C27)</f>
        <v>667525.70000000007</v>
      </c>
    </row>
    <row r="29" spans="1:3" ht="15.5">
      <c r="A29" s="2" t="s">
        <v>29</v>
      </c>
      <c r="B29" s="1"/>
      <c r="C29" s="2"/>
    </row>
    <row r="30" spans="1:3" ht="15.5">
      <c r="A30" s="2" t="s">
        <v>30</v>
      </c>
      <c r="B30" s="1"/>
      <c r="C30" s="2">
        <v>164435.5</v>
      </c>
    </row>
    <row r="31" spans="1:3" ht="35.5" customHeight="1">
      <c r="A31" s="3" t="s">
        <v>31</v>
      </c>
      <c r="B31" s="1"/>
      <c r="C31" s="1">
        <v>199275.34</v>
      </c>
    </row>
    <row r="32" spans="1:3" ht="0.5" customHeight="1">
      <c r="A32" s="3" t="s">
        <v>32</v>
      </c>
      <c r="B32" s="1"/>
      <c r="C32" s="1"/>
    </row>
    <row r="33" spans="1:3" ht="15.5">
      <c r="A33" s="2" t="s">
        <v>33</v>
      </c>
      <c r="B33" s="2"/>
      <c r="C33" s="2">
        <v>-363710.84</v>
      </c>
    </row>
    <row r="34" spans="1:3" ht="33.5" customHeight="1">
      <c r="A34" s="1" t="s">
        <v>34</v>
      </c>
      <c r="B34" s="1"/>
      <c r="C34" s="1"/>
    </row>
    <row r="35" spans="1:3" ht="24" customHeight="1">
      <c r="A35" s="1" t="s">
        <v>35</v>
      </c>
      <c r="B35" s="1"/>
      <c r="C35" s="1"/>
    </row>
    <row r="36" spans="1:3" ht="25.5" customHeight="1">
      <c r="A36" s="1" t="s">
        <v>112</v>
      </c>
      <c r="B36" s="1"/>
      <c r="C36" s="1"/>
    </row>
    <row r="37" spans="1:3" ht="22.5" customHeight="1">
      <c r="A37" s="1" t="s">
        <v>36</v>
      </c>
      <c r="B37" s="1"/>
      <c r="C37" s="1"/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7"/>
  <sheetViews>
    <sheetView topLeftCell="A21" workbookViewId="0">
      <selection activeCell="C34" sqref="C34"/>
    </sheetView>
  </sheetViews>
  <sheetFormatPr defaultRowHeight="14.5"/>
  <cols>
    <col min="1" max="1" width="39.81640625" customWidth="1"/>
    <col min="2" max="2" width="14.54296875" customWidth="1"/>
    <col min="3" max="3" width="15.26953125" customWidth="1"/>
  </cols>
  <sheetData>
    <row r="1" spans="1:3" ht="15.5">
      <c r="A1" s="1" t="s">
        <v>0</v>
      </c>
      <c r="B1" s="1"/>
      <c r="C1" s="1"/>
    </row>
    <row r="2" spans="1:3" ht="15.5">
      <c r="A2" s="1" t="s">
        <v>45</v>
      </c>
      <c r="B2" s="1" t="s">
        <v>2</v>
      </c>
      <c r="C2" s="1"/>
    </row>
    <row r="3" spans="1:3" ht="15.5">
      <c r="A3" s="1" t="s">
        <v>3</v>
      </c>
      <c r="B3" s="1"/>
      <c r="C3" s="1"/>
    </row>
    <row r="4" spans="1:3" ht="15.5">
      <c r="A4" s="1" t="s">
        <v>4</v>
      </c>
      <c r="B4" s="1"/>
      <c r="C4" s="1"/>
    </row>
    <row r="5" spans="1:3" ht="15.5">
      <c r="A5" s="1" t="s">
        <v>116</v>
      </c>
      <c r="B5" s="1"/>
      <c r="C5" s="1"/>
    </row>
    <row r="6" spans="1:3" ht="15.5">
      <c r="A6" s="1"/>
      <c r="B6" s="1"/>
      <c r="C6" s="1"/>
    </row>
    <row r="7" spans="1:3" ht="15.5">
      <c r="A7" s="1" t="s">
        <v>5</v>
      </c>
      <c r="B7" s="1" t="s">
        <v>6</v>
      </c>
      <c r="C7" s="1" t="s">
        <v>7</v>
      </c>
    </row>
    <row r="8" spans="1:3" ht="15.5">
      <c r="A8" s="2" t="s">
        <v>8</v>
      </c>
      <c r="B8" s="1"/>
      <c r="C8" s="2">
        <v>-85644.26</v>
      </c>
    </row>
    <row r="9" spans="1:3" ht="46.5">
      <c r="A9" s="3" t="s">
        <v>9</v>
      </c>
      <c r="B9" s="4">
        <f>C9/12</f>
        <v>47789.78666666666</v>
      </c>
      <c r="C9" s="1">
        <f>573477.44</f>
        <v>573477.43999999994</v>
      </c>
    </row>
    <row r="10" spans="1:3" ht="47.5" customHeight="1">
      <c r="A10" s="3" t="s">
        <v>10</v>
      </c>
      <c r="B10" s="4">
        <f t="shared" ref="B10:B28" si="0">C10/12</f>
        <v>1897.8166666666666</v>
      </c>
      <c r="C10" s="1">
        <v>22773.8</v>
      </c>
    </row>
    <row r="11" spans="1:3" ht="15.5">
      <c r="A11" s="2" t="s">
        <v>11</v>
      </c>
      <c r="B11" s="4">
        <f t="shared" si="0"/>
        <v>49687.603333333333</v>
      </c>
      <c r="C11" s="2">
        <f>SUM(C9:C10)</f>
        <v>596251.24</v>
      </c>
    </row>
    <row r="12" spans="1:3" ht="15.5">
      <c r="A12" s="2" t="s">
        <v>12</v>
      </c>
      <c r="B12" s="4">
        <f t="shared" si="0"/>
        <v>0</v>
      </c>
      <c r="C12" s="1"/>
    </row>
    <row r="13" spans="1:3" ht="75" customHeight="1">
      <c r="A13" s="3" t="s">
        <v>13</v>
      </c>
      <c r="B13" s="4">
        <f t="shared" si="0"/>
        <v>12915.428333333335</v>
      </c>
      <c r="C13" s="1">
        <f>126908.64+28076.5</f>
        <v>154985.14000000001</v>
      </c>
    </row>
    <row r="14" spans="1:3" ht="74" customHeight="1">
      <c r="A14" s="3" t="s">
        <v>14</v>
      </c>
      <c r="B14" s="4">
        <f t="shared" si="0"/>
        <v>9467.3799999999992</v>
      </c>
      <c r="C14" s="1">
        <f>55703.04+57905.52</f>
        <v>113608.56</v>
      </c>
    </row>
    <row r="15" spans="1:3" ht="60" customHeight="1">
      <c r="A15" s="3" t="s">
        <v>15</v>
      </c>
      <c r="B15" s="4">
        <f t="shared" si="0"/>
        <v>0</v>
      </c>
      <c r="C15" s="1"/>
    </row>
    <row r="16" spans="1:3" ht="15.5">
      <c r="A16" s="1" t="s">
        <v>16</v>
      </c>
      <c r="B16" s="4">
        <f t="shared" si="0"/>
        <v>10825.75</v>
      </c>
      <c r="C16" s="1">
        <v>129909</v>
      </c>
    </row>
    <row r="17" spans="1:3" ht="15.5">
      <c r="A17" s="1" t="s">
        <v>17</v>
      </c>
      <c r="B17" s="4">
        <f t="shared" si="0"/>
        <v>1706.8</v>
      </c>
      <c r="C17" s="1">
        <v>20481.599999999999</v>
      </c>
    </row>
    <row r="18" spans="1:3" ht="15.5">
      <c r="A18" s="1" t="s">
        <v>18</v>
      </c>
      <c r="B18" s="4">
        <f t="shared" si="0"/>
        <v>684.14666666666665</v>
      </c>
      <c r="C18" s="1">
        <v>8209.76</v>
      </c>
    </row>
    <row r="19" spans="1:3" ht="15.5">
      <c r="A19" s="1" t="s">
        <v>19</v>
      </c>
      <c r="B19" s="4">
        <f t="shared" si="0"/>
        <v>0</v>
      </c>
      <c r="C19" s="1"/>
    </row>
    <row r="20" spans="1:3" ht="15.5">
      <c r="A20" s="1" t="s">
        <v>20</v>
      </c>
      <c r="B20" s="4">
        <f t="shared" si="0"/>
        <v>1410.5716666666667</v>
      </c>
      <c r="C20" s="1">
        <v>16926.86</v>
      </c>
    </row>
    <row r="21" spans="1:3" ht="15.5">
      <c r="A21" s="1" t="s">
        <v>21</v>
      </c>
      <c r="B21" s="4">
        <f t="shared" si="0"/>
        <v>1083.8374999999999</v>
      </c>
      <c r="C21" s="1">
        <v>13006.05</v>
      </c>
    </row>
    <row r="22" spans="1:3" ht="15.5">
      <c r="A22" s="1" t="s">
        <v>22</v>
      </c>
      <c r="B22" s="4">
        <f t="shared" si="0"/>
        <v>4269.7891666666665</v>
      </c>
      <c r="C22" s="1">
        <v>51237.47</v>
      </c>
    </row>
    <row r="23" spans="1:3" ht="15.5">
      <c r="A23" s="1" t="s">
        <v>23</v>
      </c>
      <c r="B23" s="4">
        <f t="shared" si="0"/>
        <v>1257.9416666666666</v>
      </c>
      <c r="C23" s="1">
        <v>15095.3</v>
      </c>
    </row>
    <row r="24" spans="1:3" ht="15.5">
      <c r="A24" s="1" t="s">
        <v>24</v>
      </c>
      <c r="B24" s="4">
        <f t="shared" si="0"/>
        <v>2954.8458333333333</v>
      </c>
      <c r="C24" s="1">
        <v>35458.15</v>
      </c>
    </row>
    <row r="25" spans="1:3" ht="15.5">
      <c r="A25" s="1" t="s">
        <v>25</v>
      </c>
      <c r="B25" s="4">
        <f t="shared" si="0"/>
        <v>187.16</v>
      </c>
      <c r="C25" s="1">
        <v>2245.92</v>
      </c>
    </row>
    <row r="26" spans="1:3" ht="15.5">
      <c r="A26" s="1" t="s">
        <v>26</v>
      </c>
      <c r="B26" s="4">
        <f t="shared" si="0"/>
        <v>0</v>
      </c>
      <c r="C26" s="1"/>
    </row>
    <row r="27" spans="1:3" ht="15.5">
      <c r="A27" s="1" t="s">
        <v>27</v>
      </c>
      <c r="B27" s="4">
        <f t="shared" si="0"/>
        <v>9709.4850000000006</v>
      </c>
      <c r="C27" s="1">
        <v>116513.82</v>
      </c>
    </row>
    <row r="28" spans="1:3" ht="15.5">
      <c r="A28" s="2" t="s">
        <v>28</v>
      </c>
      <c r="B28" s="4">
        <f t="shared" si="0"/>
        <v>56473.135833333326</v>
      </c>
      <c r="C28" s="2">
        <f>SUM(C13:C27)</f>
        <v>677677.62999999989</v>
      </c>
    </row>
    <row r="29" spans="1:3" ht="15.5">
      <c r="A29" s="2" t="s">
        <v>29</v>
      </c>
      <c r="B29" s="1"/>
      <c r="C29" s="2"/>
    </row>
    <row r="30" spans="1:3" ht="24.5" customHeight="1">
      <c r="A30" s="2" t="s">
        <v>30</v>
      </c>
      <c r="B30" s="1"/>
      <c r="C30" s="2">
        <v>167070.65</v>
      </c>
    </row>
    <row r="31" spans="1:3" ht="31">
      <c r="A31" s="3" t="s">
        <v>31</v>
      </c>
      <c r="B31" s="1"/>
      <c r="C31" s="1">
        <v>236285.91</v>
      </c>
    </row>
    <row r="32" spans="1:3" ht="62" hidden="1">
      <c r="A32" s="3" t="s">
        <v>32</v>
      </c>
      <c r="B32" s="1"/>
      <c r="C32" s="1"/>
    </row>
    <row r="33" spans="1:3" ht="31.5" customHeight="1">
      <c r="A33" s="2" t="s">
        <v>33</v>
      </c>
      <c r="B33" s="2"/>
      <c r="C33" s="2">
        <v>-403356.56</v>
      </c>
    </row>
    <row r="34" spans="1:3" ht="32.5" customHeight="1">
      <c r="A34" s="1" t="s">
        <v>34</v>
      </c>
      <c r="B34" s="1"/>
      <c r="C34" s="1"/>
    </row>
    <row r="35" spans="1:3" ht="29.5" customHeight="1">
      <c r="A35" s="1" t="s">
        <v>35</v>
      </c>
      <c r="B35" s="1"/>
      <c r="C35" s="1"/>
    </row>
    <row r="36" spans="1:3" ht="23.5" customHeight="1">
      <c r="A36" s="1" t="s">
        <v>110</v>
      </c>
      <c r="B36" s="1"/>
      <c r="C36" s="1"/>
    </row>
    <row r="37" spans="1:3" ht="15.5">
      <c r="A37" s="1" t="s">
        <v>36</v>
      </c>
      <c r="B37" s="1"/>
      <c r="C37" s="1"/>
    </row>
  </sheetData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7"/>
  <sheetViews>
    <sheetView topLeftCell="A20" workbookViewId="0">
      <selection activeCell="C34" sqref="C34"/>
    </sheetView>
  </sheetViews>
  <sheetFormatPr defaultRowHeight="14.5"/>
  <cols>
    <col min="1" max="1" width="40.453125" customWidth="1"/>
    <col min="2" max="2" width="17.36328125" customWidth="1"/>
    <col min="3" max="3" width="17.453125" customWidth="1"/>
  </cols>
  <sheetData>
    <row r="1" spans="1:3" ht="15.5">
      <c r="A1" s="1" t="s">
        <v>0</v>
      </c>
      <c r="B1" s="1"/>
      <c r="C1" s="1"/>
    </row>
    <row r="2" spans="1:3" ht="15.5">
      <c r="A2" s="1" t="s">
        <v>46</v>
      </c>
      <c r="B2" s="1" t="s">
        <v>2</v>
      </c>
      <c r="C2" s="1"/>
    </row>
    <row r="3" spans="1:3" ht="15.5">
      <c r="A3" s="1" t="s">
        <v>3</v>
      </c>
      <c r="B3" s="1"/>
      <c r="C3" s="1"/>
    </row>
    <row r="4" spans="1:3" ht="15.5">
      <c r="A4" s="1" t="s">
        <v>4</v>
      </c>
      <c r="B4" s="1"/>
      <c r="C4" s="1"/>
    </row>
    <row r="5" spans="1:3" ht="15.5">
      <c r="A5" s="1" t="s">
        <v>116</v>
      </c>
      <c r="B5" s="1"/>
      <c r="C5" s="1"/>
    </row>
    <row r="6" spans="1:3" ht="15.5">
      <c r="A6" s="1"/>
      <c r="B6" s="1"/>
      <c r="C6" s="1"/>
    </row>
    <row r="7" spans="1:3" ht="15.5">
      <c r="A7" s="1" t="s">
        <v>5</v>
      </c>
      <c r="B7" s="1" t="s">
        <v>6</v>
      </c>
      <c r="C7" s="1" t="s">
        <v>7</v>
      </c>
    </row>
    <row r="8" spans="1:3" ht="15.5">
      <c r="A8" s="2" t="s">
        <v>8</v>
      </c>
      <c r="B8" s="1"/>
      <c r="C8" s="2">
        <v>35765.58</v>
      </c>
    </row>
    <row r="9" spans="1:3" ht="46" customHeight="1">
      <c r="A9" s="3" t="s">
        <v>9</v>
      </c>
      <c r="B9" s="4">
        <f>C9/12</f>
        <v>62772.305833333339</v>
      </c>
      <c r="C9" s="1">
        <v>753267.67</v>
      </c>
    </row>
    <row r="10" spans="1:3" ht="49" customHeight="1">
      <c r="A10" s="3" t="s">
        <v>10</v>
      </c>
      <c r="B10" s="4">
        <f t="shared" ref="B10:B28" si="0">C10/12</f>
        <v>2229.1666666666665</v>
      </c>
      <c r="C10" s="1">
        <v>26750</v>
      </c>
    </row>
    <row r="11" spans="1:3" ht="15.5">
      <c r="A11" s="2" t="s">
        <v>11</v>
      </c>
      <c r="B11" s="4">
        <f t="shared" si="0"/>
        <v>65001.472500000003</v>
      </c>
      <c r="C11" s="2">
        <f>SUM(C9:C10)</f>
        <v>780017.67</v>
      </c>
    </row>
    <row r="12" spans="1:3" ht="15.5">
      <c r="A12" s="2" t="s">
        <v>12</v>
      </c>
      <c r="B12" s="4">
        <f t="shared" si="0"/>
        <v>0</v>
      </c>
      <c r="C12" s="1"/>
    </row>
    <row r="13" spans="1:3" ht="83" customHeight="1">
      <c r="A13" s="3" t="s">
        <v>13</v>
      </c>
      <c r="B13" s="4">
        <f t="shared" si="0"/>
        <v>15829.945</v>
      </c>
      <c r="C13" s="1">
        <f>155559.62+34399.72</f>
        <v>189959.34</v>
      </c>
    </row>
    <row r="14" spans="1:3" ht="81.5" customHeight="1">
      <c r="A14" s="3" t="s">
        <v>14</v>
      </c>
      <c r="B14" s="4">
        <f t="shared" si="0"/>
        <v>15418.227500000001</v>
      </c>
      <c r="C14" s="1">
        <f>47972.04+137046.69</f>
        <v>185018.73</v>
      </c>
    </row>
    <row r="15" spans="1:3" ht="61.5" customHeight="1">
      <c r="A15" s="3" t="s">
        <v>15</v>
      </c>
      <c r="B15" s="4">
        <f t="shared" si="0"/>
        <v>0</v>
      </c>
      <c r="C15" s="1"/>
    </row>
    <row r="16" spans="1:3" ht="15.5">
      <c r="A16" s="1" t="s">
        <v>16</v>
      </c>
      <c r="B16" s="4">
        <f t="shared" si="0"/>
        <v>11653.333333333334</v>
      </c>
      <c r="C16" s="1">
        <v>139840</v>
      </c>
    </row>
    <row r="17" spans="1:3" ht="15.5">
      <c r="A17" s="1" t="s">
        <v>17</v>
      </c>
      <c r="B17" s="4">
        <f t="shared" si="0"/>
        <v>2205.0141666666664</v>
      </c>
      <c r="C17" s="1">
        <v>26460.17</v>
      </c>
    </row>
    <row r="18" spans="1:3" ht="15.5">
      <c r="A18" s="1" t="s">
        <v>18</v>
      </c>
      <c r="B18" s="4">
        <f t="shared" si="0"/>
        <v>314.74583333333334</v>
      </c>
      <c r="C18" s="1">
        <v>3776.95</v>
      </c>
    </row>
    <row r="19" spans="1:3" ht="15.5">
      <c r="A19" s="1" t="s">
        <v>19</v>
      </c>
      <c r="B19" s="4">
        <f t="shared" si="0"/>
        <v>0</v>
      </c>
      <c r="C19" s="1"/>
    </row>
    <row r="20" spans="1:3" ht="15.5">
      <c r="A20" s="1" t="s">
        <v>20</v>
      </c>
      <c r="B20" s="4">
        <f t="shared" si="0"/>
        <v>1060.4066666666665</v>
      </c>
      <c r="C20" s="1">
        <v>12724.88</v>
      </c>
    </row>
    <row r="21" spans="1:3" ht="15.5">
      <c r="A21" s="1" t="s">
        <v>21</v>
      </c>
      <c r="B21" s="4">
        <f t="shared" si="0"/>
        <v>1443.3266666666666</v>
      </c>
      <c r="C21" s="1">
        <v>17319.919999999998</v>
      </c>
    </row>
    <row r="22" spans="1:3" ht="15.5">
      <c r="A22" s="1" t="s">
        <v>22</v>
      </c>
      <c r="B22" s="4">
        <f t="shared" si="0"/>
        <v>6001.4683333333332</v>
      </c>
      <c r="C22" s="1">
        <v>72017.62</v>
      </c>
    </row>
    <row r="23" spans="1:3" ht="15.5">
      <c r="A23" s="1" t="s">
        <v>23</v>
      </c>
      <c r="B23" s="4">
        <f t="shared" si="0"/>
        <v>1323.6183333333333</v>
      </c>
      <c r="C23" s="1">
        <v>15883.42</v>
      </c>
    </row>
    <row r="24" spans="1:3" ht="15.5">
      <c r="A24" s="1" t="s">
        <v>24</v>
      </c>
      <c r="B24" s="4">
        <f t="shared" si="0"/>
        <v>3865.5383333333334</v>
      </c>
      <c r="C24" s="1">
        <v>46386.46</v>
      </c>
    </row>
    <row r="25" spans="1:3" ht="15.5">
      <c r="A25" s="1" t="s">
        <v>25</v>
      </c>
      <c r="B25" s="4">
        <f t="shared" si="0"/>
        <v>317.28000000000003</v>
      </c>
      <c r="C25" s="1">
        <v>3807.36</v>
      </c>
    </row>
    <row r="26" spans="1:3" ht="15.5">
      <c r="A26" s="1" t="s">
        <v>26</v>
      </c>
      <c r="B26" s="4">
        <f t="shared" si="0"/>
        <v>0</v>
      </c>
      <c r="C26" s="1"/>
    </row>
    <row r="27" spans="1:3" ht="15.5">
      <c r="A27" s="1" t="s">
        <v>27</v>
      </c>
      <c r="B27" s="4">
        <f t="shared" si="0"/>
        <v>13647.317499999999</v>
      </c>
      <c r="C27" s="1">
        <v>163767.81</v>
      </c>
    </row>
    <row r="28" spans="1:3" ht="15.5">
      <c r="A28" s="2" t="s">
        <v>28</v>
      </c>
      <c r="B28" s="4">
        <f t="shared" si="0"/>
        <v>73080.221666666665</v>
      </c>
      <c r="C28" s="2">
        <f>SUM(C13:C27)</f>
        <v>876962.65999999992</v>
      </c>
    </row>
    <row r="29" spans="1:3" ht="19.5" customHeight="1">
      <c r="A29" s="2" t="s">
        <v>29</v>
      </c>
      <c r="B29" s="1"/>
      <c r="C29" s="2"/>
    </row>
    <row r="30" spans="1:3" ht="30.5" customHeight="1">
      <c r="A30" s="2" t="s">
        <v>30</v>
      </c>
      <c r="B30" s="1"/>
      <c r="C30" s="2">
        <v>61179.41</v>
      </c>
    </row>
    <row r="31" spans="1:3" ht="31">
      <c r="A31" s="3" t="s">
        <v>31</v>
      </c>
      <c r="B31" s="1"/>
      <c r="C31" s="1">
        <v>153648.15</v>
      </c>
    </row>
    <row r="32" spans="1:3" ht="62" hidden="1">
      <c r="A32" s="3" t="s">
        <v>32</v>
      </c>
      <c r="B32" s="1"/>
      <c r="C32" s="1"/>
    </row>
    <row r="33" spans="1:3" ht="27.5" customHeight="1">
      <c r="A33" s="2" t="s">
        <v>33</v>
      </c>
      <c r="B33" s="2"/>
      <c r="C33" s="2">
        <v>214827.56</v>
      </c>
    </row>
    <row r="34" spans="1:3" ht="43" customHeight="1">
      <c r="A34" s="1" t="s">
        <v>34</v>
      </c>
      <c r="B34" s="1"/>
      <c r="C34" s="1"/>
    </row>
    <row r="35" spans="1:3" ht="27.5" customHeight="1">
      <c r="A35" s="1" t="s">
        <v>35</v>
      </c>
      <c r="B35" s="1"/>
      <c r="C35" s="1"/>
    </row>
    <row r="36" spans="1:3" ht="26.5" customHeight="1">
      <c r="A36" s="1" t="s">
        <v>110</v>
      </c>
      <c r="B36" s="1"/>
      <c r="C36" s="1"/>
    </row>
    <row r="37" spans="1:3" ht="23.5" customHeight="1">
      <c r="A37" s="1" t="s">
        <v>36</v>
      </c>
      <c r="B37" s="1"/>
      <c r="C37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66</vt:i4>
      </vt:variant>
    </vt:vector>
  </HeadingPairs>
  <TitlesOfParts>
    <vt:vector size="66" baseType="lpstr">
      <vt:lpstr>Вор.24</vt:lpstr>
      <vt:lpstr>Вор.46</vt:lpstr>
      <vt:lpstr>Вор.26</vt:lpstr>
      <vt:lpstr>Вор.28</vt:lpstr>
      <vt:lpstr>Вор.34</vt:lpstr>
      <vt:lpstr>Вор.38</vt:lpstr>
      <vt:lpstr>Вор.40</vt:lpstr>
      <vt:lpstr>Вор.42</vt:lpstr>
      <vt:lpstr>Вор.44</vt:lpstr>
      <vt:lpstr>Дом.43</vt:lpstr>
      <vt:lpstr>Дом.45</vt:lpstr>
      <vt:lpstr>Дом.55</vt:lpstr>
      <vt:lpstr>Дом.57</vt:lpstr>
      <vt:lpstr>Марш.18</vt:lpstr>
      <vt:lpstr>Марш.11</vt:lpstr>
      <vt:lpstr>Крив.70</vt:lpstr>
      <vt:lpstr>Крив68</vt:lpstr>
      <vt:lpstr>Г.Сиб.105</vt:lpstr>
      <vt:lpstr>Г.Сиб.103</vt:lpstr>
      <vt:lpstr>Г.Сиб.101</vt:lpstr>
      <vt:lpstr>Г.Сиб.99</vt:lpstr>
      <vt:lpstr>Г.Сиб.89</vt:lpstr>
      <vt:lpstr>Г.Сиб.87</vt:lpstr>
      <vt:lpstr>Ю.Янон.24</vt:lpstr>
      <vt:lpstr>Ю.Янон.15</vt:lpstr>
      <vt:lpstr>Ю.Янон.14а</vt:lpstr>
      <vt:lpstr>Ю.Янон.12а</vt:lpstr>
      <vt:lpstr>Ю.Ян.10,2</vt:lpstr>
      <vt:lpstr>Ю.Янон.10,1</vt:lpstr>
      <vt:lpstr>Ю.Янон.8,2</vt:lpstr>
      <vt:lpstr>Ю.Янон.8,1</vt:lpstr>
      <vt:lpstr>Дом.15</vt:lpstr>
      <vt:lpstr>Дом.17</vt:lpstr>
      <vt:lpstr>Дом.19</vt:lpstr>
      <vt:lpstr>Дом.25</vt:lpstr>
      <vt:lpstr>Дом.31</vt:lpstr>
      <vt:lpstr>Дом.33</vt:lpstr>
      <vt:lpstr>Дом.35</vt:lpstr>
      <vt:lpstr>Дом.37</vt:lpstr>
      <vt:lpstr>Дом.59</vt:lpstr>
      <vt:lpstr>Дом.61</vt:lpstr>
      <vt:lpstr>Дом.63</vt:lpstr>
      <vt:lpstr>Дом.75</vt:lpstr>
      <vt:lpstr>Дом.77</vt:lpstr>
      <vt:lpstr>Дом.79</vt:lpstr>
      <vt:lpstr>Б.П.1</vt:lpstr>
      <vt:lpstr>Б.П.3</vt:lpstr>
      <vt:lpstr>Б.П.5</vt:lpstr>
      <vt:lpstr>Б.П.15</vt:lpstr>
      <vt:lpstr>Б.П.21</vt:lpstr>
      <vt:lpstr>Б.П.25</vt:lpstr>
      <vt:lpstr>Б.П.27</vt:lpstr>
      <vt:lpstr>Косм.18</vt:lpstr>
      <vt:lpstr>Косм.22</vt:lpstr>
      <vt:lpstr>Косм.22а</vt:lpstr>
      <vt:lpstr>Косм.24</vt:lpstr>
      <vt:lpstr>Косм.26</vt:lpstr>
      <vt:lpstr>Косм.28</vt:lpstr>
      <vt:lpstr>Косм.30</vt:lpstr>
      <vt:lpstr>Косм.48</vt:lpstr>
      <vt:lpstr>Косм.50</vt:lpstr>
      <vt:lpstr>Косм.52</vt:lpstr>
      <vt:lpstr>Косм.56</vt:lpstr>
      <vt:lpstr>Косм.60</vt:lpstr>
      <vt:lpstr>Косм.62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2017-05-10T13:42:16Z</dcterms:modified>
</cp:coreProperties>
</file>