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62.xml" ContentType="application/vnd.openxmlformats-officedocument.spreadsheetml.worksheet+xml"/>
  <Override PartName="/xl/worksheets/sheet71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69.xml" ContentType="application/vnd.openxmlformats-officedocument.spreadsheetml.worksheet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73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Override PartName="/xl/worksheets/sheet72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7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59.xml" ContentType="application/vnd.openxmlformats-officedocument.spreadsheetml.worksheet+xml"/>
  <Override PartName="/xl/worksheets/sheet68.xml" ContentType="application/vnd.openxmlformats-officedocument.spreadsheetml.worksheet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firstSheet="45" activeTab="46"/>
  </bookViews>
  <sheets>
    <sheet name="Косм.62" sheetId="1" r:id="rId1"/>
    <sheet name="Косм.60" sheetId="2" r:id="rId2"/>
    <sheet name="Косм.56" sheetId="3" r:id="rId3"/>
    <sheet name="Косм.52" sheetId="4" r:id="rId4"/>
    <sheet name="Косм.50" sheetId="5" r:id="rId5"/>
    <sheet name="Косм.24" sheetId="6" r:id="rId6"/>
    <sheet name="Косм.48" sheetId="7" r:id="rId7"/>
    <sheet name="Косм.30" sheetId="8" r:id="rId8"/>
    <sheet name="Косм.28" sheetId="9" r:id="rId9"/>
    <sheet name="Косм.26" sheetId="10" r:id="rId10"/>
    <sheet name="Косм 22а" sheetId="11" r:id="rId11"/>
    <sheet name="Косм.22" sheetId="12" r:id="rId12"/>
    <sheet name="Косм.18" sheetId="13" r:id="rId13"/>
    <sheet name="Б.Пион.27" sheetId="14" r:id="rId14"/>
    <sheet name="Б.Пион.25" sheetId="15" r:id="rId15"/>
    <sheet name="Б.Пион.21" sheetId="16" r:id="rId16"/>
    <sheet name="Б.Пион.15" sheetId="17" r:id="rId17"/>
    <sheet name="Б.Пион.5" sheetId="18" r:id="rId18"/>
    <sheet name="Б.Пион.3" sheetId="19" r:id="rId19"/>
    <sheet name="Б.Пион.1" sheetId="20" r:id="rId20"/>
    <sheet name="Ю.Ян.10.2" sheetId="21" r:id="rId21"/>
    <sheet name="Ю.Ян.10.1" sheetId="22" r:id="rId22"/>
    <sheet name="Ю.Ян.12А" sheetId="23" r:id="rId23"/>
    <sheet name="Ю.Ян.14А" sheetId="24" r:id="rId24"/>
    <sheet name="Ю.Ян.15" sheetId="25" r:id="rId25"/>
    <sheet name="Ю.Ян.8.2" sheetId="26" r:id="rId26"/>
    <sheet name="Ю.Ян.8.1" sheetId="27" r:id="rId27"/>
    <sheet name="Ю.Ян.24" sheetId="28" r:id="rId28"/>
    <sheet name="Г.Сиб.87" sheetId="29" r:id="rId29"/>
    <sheet name="Г.Сиб.105" sheetId="30" r:id="rId30"/>
    <sheet name="Г.Сиб.103" sheetId="31" r:id="rId31"/>
    <sheet name="Г.Сиб.101" sheetId="32" r:id="rId32"/>
    <sheet name="Г.Сиб.99" sheetId="33" r:id="rId33"/>
    <sheet name="Г.Сиб.89" sheetId="34" r:id="rId34"/>
    <sheet name="Ворош.46" sheetId="35" r:id="rId35"/>
    <sheet name="Ворош.44" sheetId="36" r:id="rId36"/>
    <sheet name="Ворош.42" sheetId="37" r:id="rId37"/>
    <sheet name="Ворош.40" sheetId="38" r:id="rId38"/>
    <sheet name="Ворош.38" sheetId="39" r:id="rId39"/>
    <sheet name="Ворош.34" sheetId="40" r:id="rId40"/>
    <sheet name="Ворош.28" sheetId="41" r:id="rId41"/>
    <sheet name="Ворош.26" sheetId="42" r:id="rId42"/>
    <sheet name="Ворош.24" sheetId="43" r:id="rId43"/>
    <sheet name="Дом.63" sheetId="44" r:id="rId44"/>
    <sheet name="Дом.75" sheetId="45" r:id="rId45"/>
    <sheet name="Дом.79" sheetId="46" r:id="rId46"/>
    <sheet name="Дом.77" sheetId="47" r:id="rId47"/>
    <sheet name="Дом.61" sheetId="48" r:id="rId48"/>
    <sheet name="Дом.59" sheetId="49" r:id="rId49"/>
    <sheet name="Дом.55" sheetId="50" r:id="rId50"/>
    <sheet name="Дом.57" sheetId="51" r:id="rId51"/>
    <sheet name="Дом.45" sheetId="52" r:id="rId52"/>
    <sheet name="Дом.43" sheetId="53" r:id="rId53"/>
    <sheet name="Дом.37" sheetId="54" r:id="rId54"/>
    <sheet name="Дом.35" sheetId="55" r:id="rId55"/>
    <sheet name="Дом.33" sheetId="56" r:id="rId56"/>
    <sheet name="Дом.31" sheetId="57" r:id="rId57"/>
    <sheet name="Дом.25" sheetId="58" r:id="rId58"/>
    <sheet name="Дом.19" sheetId="59" r:id="rId59"/>
    <sheet name="Дом.17" sheetId="60" r:id="rId60"/>
    <sheet name="Дом.15" sheetId="61" r:id="rId61"/>
    <sheet name="Крив.70" sheetId="62" r:id="rId62"/>
    <sheet name="Крив.68" sheetId="63" r:id="rId63"/>
    <sheet name="Г.Сиб 105" sheetId="64" r:id="rId64"/>
    <sheet name="Г.Сиб103" sheetId="65" r:id="rId65"/>
    <sheet name="Г.Сиб101" sheetId="66" r:id="rId66"/>
    <sheet name="Г.Сиб 99" sheetId="67" r:id="rId67"/>
    <sheet name="Г.Сиб 89" sheetId="68" r:id="rId68"/>
    <sheet name="Г.Сиб 87" sheetId="69" r:id="rId69"/>
    <sheet name="Лист1" sheetId="70" r:id="rId70"/>
    <sheet name="Лист2" sheetId="71" r:id="rId71"/>
    <sheet name="Лист3" sheetId="72" r:id="rId72"/>
    <sheet name="Лист4" sheetId="73" r:id="rId73"/>
  </sheets>
  <calcPr calcId="125725" refMode="R1C1"/>
</workbook>
</file>

<file path=xl/calcChain.xml><?xml version="1.0" encoding="utf-8"?>
<calcChain xmlns="http://schemas.openxmlformats.org/spreadsheetml/2006/main">
  <c r="C59" i="49"/>
  <c r="C58"/>
  <c r="C73" s="1"/>
  <c r="B73" s="1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12" i="14"/>
  <c r="B15"/>
  <c r="B16"/>
  <c r="B17"/>
  <c r="B18"/>
  <c r="B19"/>
  <c r="B20"/>
  <c r="B21"/>
  <c r="B22"/>
  <c r="B23"/>
  <c r="B24"/>
  <c r="B25"/>
  <c r="B26"/>
  <c r="B27"/>
  <c r="B9"/>
  <c r="C14"/>
  <c r="B14" s="1"/>
  <c r="C13"/>
  <c r="C28" s="1"/>
  <c r="B28" s="1"/>
  <c r="C10"/>
  <c r="B10" s="1"/>
  <c r="B12" i="15"/>
  <c r="B15"/>
  <c r="B16"/>
  <c r="B17"/>
  <c r="B18"/>
  <c r="B19"/>
  <c r="B20"/>
  <c r="B21"/>
  <c r="B22"/>
  <c r="B23"/>
  <c r="B24"/>
  <c r="B25"/>
  <c r="B26"/>
  <c r="B27"/>
  <c r="B9"/>
  <c r="C14"/>
  <c r="B14" s="1"/>
  <c r="C13"/>
  <c r="B13" s="1"/>
  <c r="C11"/>
  <c r="B11" s="1"/>
  <c r="C10"/>
  <c r="B10" s="1"/>
  <c r="B12" i="16"/>
  <c r="B14"/>
  <c r="B15"/>
  <c r="B16"/>
  <c r="B17"/>
  <c r="B18"/>
  <c r="B19"/>
  <c r="B20"/>
  <c r="B21"/>
  <c r="B22"/>
  <c r="B23"/>
  <c r="B24"/>
  <c r="B25"/>
  <c r="B26"/>
  <c r="B27"/>
  <c r="B9"/>
  <c r="C14"/>
  <c r="C13"/>
  <c r="C28" s="1"/>
  <c r="B28" s="1"/>
  <c r="C10"/>
  <c r="B10" s="1"/>
  <c r="B10" i="17"/>
  <c r="B11"/>
  <c r="B12"/>
  <c r="B15"/>
  <c r="B16"/>
  <c r="B17"/>
  <c r="B18"/>
  <c r="B19"/>
  <c r="B20"/>
  <c r="B21"/>
  <c r="B22"/>
  <c r="B23"/>
  <c r="B24"/>
  <c r="B25"/>
  <c r="B26"/>
  <c r="B27"/>
  <c r="C14"/>
  <c r="B14" s="1"/>
  <c r="C13"/>
  <c r="B13" s="1"/>
  <c r="C11"/>
  <c r="B12" i="18"/>
  <c r="B14"/>
  <c r="B15"/>
  <c r="B16"/>
  <c r="B17"/>
  <c r="B18"/>
  <c r="B19"/>
  <c r="B20"/>
  <c r="B21"/>
  <c r="B22"/>
  <c r="B23"/>
  <c r="B24"/>
  <c r="B25"/>
  <c r="B26"/>
  <c r="B27"/>
  <c r="B9"/>
  <c r="C14"/>
  <c r="C13"/>
  <c r="C28" s="1"/>
  <c r="B28" s="1"/>
  <c r="C10"/>
  <c r="B10" s="1"/>
  <c r="B10" i="19"/>
  <c r="B12"/>
  <c r="B13"/>
  <c r="B15"/>
  <c r="B16"/>
  <c r="B17"/>
  <c r="B18"/>
  <c r="B19"/>
  <c r="B20"/>
  <c r="B21"/>
  <c r="B22"/>
  <c r="B23"/>
  <c r="B24"/>
  <c r="B25"/>
  <c r="B26"/>
  <c r="B27"/>
  <c r="B9"/>
  <c r="C14"/>
  <c r="B14" s="1"/>
  <c r="C13"/>
  <c r="C28" s="1"/>
  <c r="B28" s="1"/>
  <c r="C11"/>
  <c r="B11" s="1"/>
  <c r="B10" i="72"/>
  <c r="B11"/>
  <c r="B12"/>
  <c r="B15"/>
  <c r="B17"/>
  <c r="B19"/>
  <c r="B23"/>
  <c r="B25"/>
  <c r="B26"/>
  <c r="B27"/>
  <c r="B9"/>
  <c r="C24"/>
  <c r="B24" s="1"/>
  <c r="C22"/>
  <c r="B22" s="1"/>
  <c r="C21"/>
  <c r="B21" s="1"/>
  <c r="C20"/>
  <c r="B20" s="1"/>
  <c r="C18"/>
  <c r="B18" s="1"/>
  <c r="C17"/>
  <c r="C16"/>
  <c r="B16" s="1"/>
  <c r="C14"/>
  <c r="B14" s="1"/>
  <c r="C13"/>
  <c r="B13" s="1"/>
  <c r="B12" i="20"/>
  <c r="B13"/>
  <c r="B15"/>
  <c r="B16"/>
  <c r="B17"/>
  <c r="B18"/>
  <c r="B19"/>
  <c r="B20"/>
  <c r="B21"/>
  <c r="B22"/>
  <c r="B23"/>
  <c r="B24"/>
  <c r="B25"/>
  <c r="B26"/>
  <c r="B27"/>
  <c r="B9"/>
  <c r="C14"/>
  <c r="B14" s="1"/>
  <c r="C13"/>
  <c r="C28" s="1"/>
  <c r="B28" s="1"/>
  <c r="C11"/>
  <c r="B11" s="1"/>
  <c r="C10"/>
  <c r="B10" s="1"/>
  <c r="B18" i="13"/>
  <c r="B20"/>
  <c r="B21"/>
  <c r="B22"/>
  <c r="B23"/>
  <c r="B24"/>
  <c r="B25"/>
  <c r="B26"/>
  <c r="B27"/>
  <c r="B28"/>
  <c r="B29"/>
  <c r="B30"/>
  <c r="B31"/>
  <c r="B32"/>
  <c r="B33"/>
  <c r="B15"/>
  <c r="C20"/>
  <c r="C19"/>
  <c r="C34" s="1"/>
  <c r="B34" s="1"/>
  <c r="C16"/>
  <c r="B16" s="1"/>
  <c r="B12" i="12"/>
  <c r="B13"/>
  <c r="B15"/>
  <c r="B16"/>
  <c r="B17"/>
  <c r="B18"/>
  <c r="B19"/>
  <c r="B20"/>
  <c r="B21"/>
  <c r="B22"/>
  <c r="B23"/>
  <c r="B24"/>
  <c r="B25"/>
  <c r="B26"/>
  <c r="B27"/>
  <c r="B9"/>
  <c r="C14"/>
  <c r="B14" s="1"/>
  <c r="C13"/>
  <c r="C28" s="1"/>
  <c r="B28" s="1"/>
  <c r="C11"/>
  <c r="B11" s="1"/>
  <c r="C10"/>
  <c r="B10" s="1"/>
  <c r="B12" i="11"/>
  <c r="B14"/>
  <c r="B15"/>
  <c r="B16"/>
  <c r="B17"/>
  <c r="B18"/>
  <c r="B19"/>
  <c r="B20"/>
  <c r="B21"/>
  <c r="B22"/>
  <c r="B23"/>
  <c r="B24"/>
  <c r="B25"/>
  <c r="B26"/>
  <c r="B27"/>
  <c r="B9"/>
  <c r="C14"/>
  <c r="C13"/>
  <c r="C28" s="1"/>
  <c r="B28" s="1"/>
  <c r="C10"/>
  <c r="B10" s="1"/>
  <c r="B27" i="6"/>
  <c r="B26"/>
  <c r="B25"/>
  <c r="B24"/>
  <c r="B23"/>
  <c r="B22"/>
  <c r="B21"/>
  <c r="B20"/>
  <c r="B19"/>
  <c r="B18"/>
  <c r="B17"/>
  <c r="B16"/>
  <c r="B15"/>
  <c r="C14"/>
  <c r="B14" s="1"/>
  <c r="C13"/>
  <c r="C28" s="1"/>
  <c r="B28" s="1"/>
  <c r="B12"/>
  <c r="C11"/>
  <c r="B11"/>
  <c r="B10"/>
  <c r="B9"/>
  <c r="B10" i="10"/>
  <c r="B12"/>
  <c r="B13"/>
  <c r="B15"/>
  <c r="B16"/>
  <c r="B17"/>
  <c r="B18"/>
  <c r="B19"/>
  <c r="B20"/>
  <c r="B21"/>
  <c r="B22"/>
  <c r="B23"/>
  <c r="B24"/>
  <c r="B25"/>
  <c r="B26"/>
  <c r="B27"/>
  <c r="B9"/>
  <c r="C14"/>
  <c r="B14" s="1"/>
  <c r="C13"/>
  <c r="C28" s="1"/>
  <c r="B28" s="1"/>
  <c r="C11"/>
  <c r="B11" s="1"/>
  <c r="B10" i="9"/>
  <c r="B12"/>
  <c r="B13"/>
  <c r="B15"/>
  <c r="B16"/>
  <c r="B17"/>
  <c r="B18"/>
  <c r="B19"/>
  <c r="B20"/>
  <c r="B21"/>
  <c r="B22"/>
  <c r="B23"/>
  <c r="B24"/>
  <c r="B25"/>
  <c r="B26"/>
  <c r="B27"/>
  <c r="B9"/>
  <c r="C14"/>
  <c r="B14" s="1"/>
  <c r="C13"/>
  <c r="C28" s="1"/>
  <c r="B28" s="1"/>
  <c r="C11"/>
  <c r="B11" s="1"/>
  <c r="B10" i="8"/>
  <c r="B12"/>
  <c r="B13"/>
  <c r="B15"/>
  <c r="B16"/>
  <c r="B17"/>
  <c r="B18"/>
  <c r="B19"/>
  <c r="B20"/>
  <c r="B21"/>
  <c r="B22"/>
  <c r="B23"/>
  <c r="B24"/>
  <c r="B25"/>
  <c r="B26"/>
  <c r="B27"/>
  <c r="B9"/>
  <c r="C14"/>
  <c r="B14" s="1"/>
  <c r="C13"/>
  <c r="C28" s="1"/>
  <c r="B28" s="1"/>
  <c r="C11"/>
  <c r="B11" s="1"/>
  <c r="B10" i="7"/>
  <c r="B11"/>
  <c r="B12"/>
  <c r="B13"/>
  <c r="B15"/>
  <c r="B16"/>
  <c r="B17"/>
  <c r="B18"/>
  <c r="B19"/>
  <c r="B20"/>
  <c r="B21"/>
  <c r="B22"/>
  <c r="B23"/>
  <c r="B24"/>
  <c r="B25"/>
  <c r="B26"/>
  <c r="B27"/>
  <c r="B9"/>
  <c r="C14"/>
  <c r="B14" s="1"/>
  <c r="C13"/>
  <c r="C28" s="1"/>
  <c r="B28" s="1"/>
  <c r="B10" i="5"/>
  <c r="B12"/>
  <c r="B13"/>
  <c r="B15"/>
  <c r="B16"/>
  <c r="B17"/>
  <c r="B18"/>
  <c r="B19"/>
  <c r="B20"/>
  <c r="B21"/>
  <c r="B22"/>
  <c r="B23"/>
  <c r="B24"/>
  <c r="B25"/>
  <c r="B26"/>
  <c r="B27"/>
  <c r="B9"/>
  <c r="C14"/>
  <c r="B14" s="1"/>
  <c r="C13"/>
  <c r="C28" s="1"/>
  <c r="B28" s="1"/>
  <c r="C11"/>
  <c r="B11" s="1"/>
  <c r="B10" i="4"/>
  <c r="B12"/>
  <c r="B13"/>
  <c r="B15"/>
  <c r="B16"/>
  <c r="B17"/>
  <c r="B18"/>
  <c r="B19"/>
  <c r="B20"/>
  <c r="B21"/>
  <c r="B22"/>
  <c r="B23"/>
  <c r="B24"/>
  <c r="B25"/>
  <c r="B26"/>
  <c r="B27"/>
  <c r="B9"/>
  <c r="C14"/>
  <c r="B14" s="1"/>
  <c r="C13"/>
  <c r="C28" s="1"/>
  <c r="B28" s="1"/>
  <c r="C11"/>
  <c r="B11" s="1"/>
  <c r="B12" i="3"/>
  <c r="B13"/>
  <c r="B15"/>
  <c r="B16"/>
  <c r="B17"/>
  <c r="B18"/>
  <c r="B19"/>
  <c r="B20"/>
  <c r="B21"/>
  <c r="B22"/>
  <c r="B23"/>
  <c r="B24"/>
  <c r="B25"/>
  <c r="B26"/>
  <c r="B27"/>
  <c r="B9"/>
  <c r="C14"/>
  <c r="B14" s="1"/>
  <c r="C13"/>
  <c r="C28" s="1"/>
  <c r="B28" s="1"/>
  <c r="C11"/>
  <c r="B11" s="1"/>
  <c r="C10"/>
  <c r="B10" s="1"/>
  <c r="B12" i="2"/>
  <c r="B14"/>
  <c r="B15"/>
  <c r="B16"/>
  <c r="B17"/>
  <c r="B18"/>
  <c r="B19"/>
  <c r="B20"/>
  <c r="B21"/>
  <c r="B22"/>
  <c r="B23"/>
  <c r="B24"/>
  <c r="B25"/>
  <c r="B26"/>
  <c r="B27"/>
  <c r="C14"/>
  <c r="C13"/>
  <c r="B13" s="1"/>
  <c r="C10"/>
  <c r="B10" s="1"/>
  <c r="C9"/>
  <c r="B9" s="1"/>
  <c r="B10" i="1"/>
  <c r="B11"/>
  <c r="B12"/>
  <c r="B14"/>
  <c r="B15"/>
  <c r="B16"/>
  <c r="B17"/>
  <c r="B18"/>
  <c r="B19"/>
  <c r="B20"/>
  <c r="B21"/>
  <c r="B22"/>
  <c r="B23"/>
  <c r="B24"/>
  <c r="B25"/>
  <c r="B26"/>
  <c r="B27"/>
  <c r="B9"/>
  <c r="C14"/>
  <c r="C13"/>
  <c r="B13" s="1"/>
  <c r="C14" i="42"/>
  <c r="B10" i="62"/>
  <c r="B12"/>
  <c r="B14"/>
  <c r="B15"/>
  <c r="B16"/>
  <c r="B17"/>
  <c r="B18"/>
  <c r="B19"/>
  <c r="B20"/>
  <c r="B21"/>
  <c r="B22"/>
  <c r="B23"/>
  <c r="B24"/>
  <c r="B25"/>
  <c r="B26"/>
  <c r="B27"/>
  <c r="B9"/>
  <c r="C14"/>
  <c r="C13"/>
  <c r="B13" s="1"/>
  <c r="C11"/>
  <c r="B11" s="1"/>
  <c r="B12" i="63"/>
  <c r="B14"/>
  <c r="B15"/>
  <c r="B16"/>
  <c r="B17"/>
  <c r="B18"/>
  <c r="B19"/>
  <c r="B20"/>
  <c r="B21"/>
  <c r="B22"/>
  <c r="B23"/>
  <c r="B24"/>
  <c r="B25"/>
  <c r="B26"/>
  <c r="B27"/>
  <c r="B9"/>
  <c r="C14"/>
  <c r="C13"/>
  <c r="B13" s="1"/>
  <c r="C10"/>
  <c r="C11" s="1"/>
  <c r="B11" s="1"/>
  <c r="B12" i="28"/>
  <c r="B13"/>
  <c r="B15"/>
  <c r="B16"/>
  <c r="B17"/>
  <c r="B18"/>
  <c r="B19"/>
  <c r="B20"/>
  <c r="B21"/>
  <c r="B22"/>
  <c r="B23"/>
  <c r="B24"/>
  <c r="B25"/>
  <c r="B26"/>
  <c r="B27"/>
  <c r="B9"/>
  <c r="C14"/>
  <c r="B14" s="1"/>
  <c r="C13"/>
  <c r="C28" s="1"/>
  <c r="B28" s="1"/>
  <c r="C11"/>
  <c r="B11" s="1"/>
  <c r="C10"/>
  <c r="B10" s="1"/>
  <c r="B10" i="25"/>
  <c r="B12"/>
  <c r="B14"/>
  <c r="B15"/>
  <c r="B16"/>
  <c r="B17"/>
  <c r="B18"/>
  <c r="B19"/>
  <c r="B20"/>
  <c r="B21"/>
  <c r="B22"/>
  <c r="B23"/>
  <c r="B24"/>
  <c r="B25"/>
  <c r="B26"/>
  <c r="B27"/>
  <c r="B9"/>
  <c r="C14"/>
  <c r="C13"/>
  <c r="B13" s="1"/>
  <c r="C11"/>
  <c r="B11" s="1"/>
  <c r="B10" i="24"/>
  <c r="B12"/>
  <c r="B14"/>
  <c r="B15"/>
  <c r="B16"/>
  <c r="B17"/>
  <c r="B18"/>
  <c r="B19"/>
  <c r="B20"/>
  <c r="B21"/>
  <c r="B22"/>
  <c r="B23"/>
  <c r="B24"/>
  <c r="B25"/>
  <c r="B26"/>
  <c r="B27"/>
  <c r="B9"/>
  <c r="C14"/>
  <c r="C13"/>
  <c r="B13" s="1"/>
  <c r="C11"/>
  <c r="B11" s="1"/>
  <c r="B10" i="23"/>
  <c r="B12"/>
  <c r="B14"/>
  <c r="B15"/>
  <c r="B16"/>
  <c r="B17"/>
  <c r="B18"/>
  <c r="B19"/>
  <c r="B20"/>
  <c r="B21"/>
  <c r="B22"/>
  <c r="B23"/>
  <c r="B24"/>
  <c r="B25"/>
  <c r="B26"/>
  <c r="B27"/>
  <c r="B9"/>
  <c r="C14"/>
  <c r="C13"/>
  <c r="B13" s="1"/>
  <c r="C11"/>
  <c r="B11" s="1"/>
  <c r="B12" i="21"/>
  <c r="B14"/>
  <c r="B15"/>
  <c r="B16"/>
  <c r="B17"/>
  <c r="B18"/>
  <c r="B19"/>
  <c r="B20"/>
  <c r="B21"/>
  <c r="B22"/>
  <c r="B23"/>
  <c r="B24"/>
  <c r="B25"/>
  <c r="B26"/>
  <c r="B27"/>
  <c r="B9"/>
  <c r="C14"/>
  <c r="C13"/>
  <c r="B13" s="1"/>
  <c r="C10"/>
  <c r="C11" s="1"/>
  <c r="B11" s="1"/>
  <c r="B10" i="22"/>
  <c r="B12"/>
  <c r="B13"/>
  <c r="B15"/>
  <c r="B16"/>
  <c r="B17"/>
  <c r="B18"/>
  <c r="B19"/>
  <c r="B20"/>
  <c r="B21"/>
  <c r="B22"/>
  <c r="B23"/>
  <c r="B24"/>
  <c r="B25"/>
  <c r="B26"/>
  <c r="B27"/>
  <c r="B9"/>
  <c r="C14"/>
  <c r="B14" s="1"/>
  <c r="C13"/>
  <c r="C28" s="1"/>
  <c r="B28" s="1"/>
  <c r="C11"/>
  <c r="B11" s="1"/>
  <c r="B10" i="26"/>
  <c r="B11"/>
  <c r="B12"/>
  <c r="B13"/>
  <c r="B15"/>
  <c r="B16"/>
  <c r="B17"/>
  <c r="B18"/>
  <c r="B19"/>
  <c r="B20"/>
  <c r="B21"/>
  <c r="B22"/>
  <c r="B23"/>
  <c r="B24"/>
  <c r="B25"/>
  <c r="B26"/>
  <c r="B27"/>
  <c r="B9"/>
  <c r="C14"/>
  <c r="B14" s="1"/>
  <c r="C13"/>
  <c r="C28" s="1"/>
  <c r="B28" s="1"/>
  <c r="B12" i="27"/>
  <c r="B14"/>
  <c r="B15"/>
  <c r="B16"/>
  <c r="B17"/>
  <c r="B18"/>
  <c r="B19"/>
  <c r="B20"/>
  <c r="B21"/>
  <c r="B22"/>
  <c r="B23"/>
  <c r="B24"/>
  <c r="B25"/>
  <c r="B26"/>
  <c r="B27"/>
  <c r="B9"/>
  <c r="C14"/>
  <c r="C13"/>
  <c r="B13" s="1"/>
  <c r="C10"/>
  <c r="C11" s="1"/>
  <c r="B11" s="1"/>
  <c r="B10" i="30"/>
  <c r="B12"/>
  <c r="B13"/>
  <c r="B15"/>
  <c r="B16"/>
  <c r="B17"/>
  <c r="B18"/>
  <c r="B19"/>
  <c r="B20"/>
  <c r="B21"/>
  <c r="B22"/>
  <c r="B23"/>
  <c r="B24"/>
  <c r="B25"/>
  <c r="B26"/>
  <c r="B27"/>
  <c r="B9"/>
  <c r="C14"/>
  <c r="B14" s="1"/>
  <c r="C13"/>
  <c r="C28" s="1"/>
  <c r="B28" s="1"/>
  <c r="C11"/>
  <c r="B11" s="1"/>
  <c r="B12" i="31"/>
  <c r="B13"/>
  <c r="B15"/>
  <c r="B16"/>
  <c r="B17"/>
  <c r="B18"/>
  <c r="B19"/>
  <c r="B20"/>
  <c r="B21"/>
  <c r="B22"/>
  <c r="B23"/>
  <c r="B24"/>
  <c r="B25"/>
  <c r="B26"/>
  <c r="B27"/>
  <c r="B9"/>
  <c r="C14"/>
  <c r="B14" s="1"/>
  <c r="C13"/>
  <c r="C28" s="1"/>
  <c r="B28" s="1"/>
  <c r="C11"/>
  <c r="B11" s="1"/>
  <c r="C10"/>
  <c r="B10" s="1"/>
  <c r="B10" i="32"/>
  <c r="B12"/>
  <c r="B14"/>
  <c r="B15"/>
  <c r="B16"/>
  <c r="B17"/>
  <c r="B18"/>
  <c r="B19"/>
  <c r="B20"/>
  <c r="B21"/>
  <c r="B22"/>
  <c r="B23"/>
  <c r="B24"/>
  <c r="B25"/>
  <c r="B26"/>
  <c r="B27"/>
  <c r="B9"/>
  <c r="C14"/>
  <c r="C13"/>
  <c r="B13" s="1"/>
  <c r="C11"/>
  <c r="B11" s="1"/>
  <c r="B10" i="33"/>
  <c r="B12"/>
  <c r="B14"/>
  <c r="B15"/>
  <c r="B16"/>
  <c r="B17"/>
  <c r="B18"/>
  <c r="B19"/>
  <c r="B20"/>
  <c r="B21"/>
  <c r="B22"/>
  <c r="B23"/>
  <c r="B24"/>
  <c r="B25"/>
  <c r="B26"/>
  <c r="B27"/>
  <c r="B9"/>
  <c r="C14"/>
  <c r="C13"/>
  <c r="B13" s="1"/>
  <c r="C11"/>
  <c r="B11" s="1"/>
  <c r="B10" i="34"/>
  <c r="B12"/>
  <c r="B14"/>
  <c r="B15"/>
  <c r="B16"/>
  <c r="B17"/>
  <c r="B18"/>
  <c r="B19"/>
  <c r="B20"/>
  <c r="B21"/>
  <c r="B22"/>
  <c r="B23"/>
  <c r="B24"/>
  <c r="B25"/>
  <c r="B26"/>
  <c r="B27"/>
  <c r="B9"/>
  <c r="C14"/>
  <c r="C13"/>
  <c r="B13" s="1"/>
  <c r="C11"/>
  <c r="B11" s="1"/>
  <c r="B12" i="29"/>
  <c r="B14"/>
  <c r="B15"/>
  <c r="B16"/>
  <c r="B17"/>
  <c r="B18"/>
  <c r="B19"/>
  <c r="B20"/>
  <c r="B21"/>
  <c r="B22"/>
  <c r="B23"/>
  <c r="B24"/>
  <c r="B25"/>
  <c r="B26"/>
  <c r="B27"/>
  <c r="B9"/>
  <c r="C14"/>
  <c r="C13"/>
  <c r="B13" s="1"/>
  <c r="C10"/>
  <c r="C11" s="1"/>
  <c r="B11" s="1"/>
  <c r="B10" i="35"/>
  <c r="B12"/>
  <c r="B13"/>
  <c r="B15"/>
  <c r="B16"/>
  <c r="B17"/>
  <c r="B18"/>
  <c r="B19"/>
  <c r="B20"/>
  <c r="B21"/>
  <c r="B22"/>
  <c r="B23"/>
  <c r="B24"/>
  <c r="B25"/>
  <c r="B26"/>
  <c r="B27"/>
  <c r="B9"/>
  <c r="C14"/>
  <c r="B14" s="1"/>
  <c r="C13"/>
  <c r="C28" s="1"/>
  <c r="B28" s="1"/>
  <c r="C11"/>
  <c r="B11" s="1"/>
  <c r="B10" i="36"/>
  <c r="B12"/>
  <c r="B13"/>
  <c r="B15"/>
  <c r="B16"/>
  <c r="B17"/>
  <c r="B18"/>
  <c r="B19"/>
  <c r="B20"/>
  <c r="B21"/>
  <c r="B22"/>
  <c r="B23"/>
  <c r="B24"/>
  <c r="B25"/>
  <c r="B26"/>
  <c r="B27"/>
  <c r="B9"/>
  <c r="C14"/>
  <c r="B14" s="1"/>
  <c r="C13"/>
  <c r="C28" s="1"/>
  <c r="B28" s="1"/>
  <c r="C11"/>
  <c r="B11" s="1"/>
  <c r="B10" i="37"/>
  <c r="B12"/>
  <c r="B13"/>
  <c r="B15"/>
  <c r="B16"/>
  <c r="B17"/>
  <c r="B18"/>
  <c r="B19"/>
  <c r="B20"/>
  <c r="B21"/>
  <c r="B22"/>
  <c r="B23"/>
  <c r="B24"/>
  <c r="B25"/>
  <c r="B26"/>
  <c r="B27"/>
  <c r="B9"/>
  <c r="C14"/>
  <c r="B14" s="1"/>
  <c r="C13"/>
  <c r="C28" s="1"/>
  <c r="B28" s="1"/>
  <c r="C11"/>
  <c r="B11" s="1"/>
  <c r="B10" i="38"/>
  <c r="B12"/>
  <c r="B13"/>
  <c r="B15"/>
  <c r="B16"/>
  <c r="B17"/>
  <c r="B18"/>
  <c r="B19"/>
  <c r="B20"/>
  <c r="B21"/>
  <c r="B22"/>
  <c r="B23"/>
  <c r="B24"/>
  <c r="B25"/>
  <c r="B26"/>
  <c r="B27"/>
  <c r="B9"/>
  <c r="C14"/>
  <c r="B14" s="1"/>
  <c r="C13"/>
  <c r="C28" s="1"/>
  <c r="B28" s="1"/>
  <c r="C11"/>
  <c r="B11" s="1"/>
  <c r="B12" i="39"/>
  <c r="B13"/>
  <c r="B15"/>
  <c r="B16"/>
  <c r="B17"/>
  <c r="B18"/>
  <c r="B19"/>
  <c r="B20"/>
  <c r="B21"/>
  <c r="B22"/>
  <c r="B23"/>
  <c r="B24"/>
  <c r="B25"/>
  <c r="B26"/>
  <c r="B27"/>
  <c r="B9"/>
  <c r="C14"/>
  <c r="B14" s="1"/>
  <c r="C13"/>
  <c r="C28" s="1"/>
  <c r="B28" s="1"/>
  <c r="C11"/>
  <c r="B11" s="1"/>
  <c r="C10"/>
  <c r="B10" s="1"/>
  <c r="B10" i="40"/>
  <c r="B12"/>
  <c r="B14"/>
  <c r="B15"/>
  <c r="B16"/>
  <c r="B17"/>
  <c r="B18"/>
  <c r="B19"/>
  <c r="B20"/>
  <c r="B21"/>
  <c r="B22"/>
  <c r="B23"/>
  <c r="B24"/>
  <c r="B25"/>
  <c r="B26"/>
  <c r="B27"/>
  <c r="B9"/>
  <c r="C14"/>
  <c r="C13"/>
  <c r="B13" s="1"/>
  <c r="C11"/>
  <c r="B11" s="1"/>
  <c r="B10" i="41"/>
  <c r="B12"/>
  <c r="B14"/>
  <c r="B15"/>
  <c r="B16"/>
  <c r="B17"/>
  <c r="B18"/>
  <c r="B19"/>
  <c r="B20"/>
  <c r="B21"/>
  <c r="B22"/>
  <c r="B23"/>
  <c r="B24"/>
  <c r="B25"/>
  <c r="B26"/>
  <c r="B27"/>
  <c r="B9"/>
  <c r="C14"/>
  <c r="C13"/>
  <c r="B13" s="1"/>
  <c r="C11"/>
  <c r="B11" s="1"/>
  <c r="B12" i="42"/>
  <c r="B14"/>
  <c r="B15"/>
  <c r="B16"/>
  <c r="B17"/>
  <c r="B18"/>
  <c r="B19"/>
  <c r="B20"/>
  <c r="B21"/>
  <c r="B22"/>
  <c r="B23"/>
  <c r="B24"/>
  <c r="B25"/>
  <c r="B26"/>
  <c r="B27"/>
  <c r="B9"/>
  <c r="C13"/>
  <c r="B13" s="1"/>
  <c r="C28"/>
  <c r="B28" s="1"/>
  <c r="C10"/>
  <c r="C11" s="1"/>
  <c r="B11" s="1"/>
  <c r="B12" i="43"/>
  <c r="B13"/>
  <c r="B14"/>
  <c r="B15"/>
  <c r="B16"/>
  <c r="B17"/>
  <c r="B18"/>
  <c r="B19"/>
  <c r="B20"/>
  <c r="B21"/>
  <c r="B22"/>
  <c r="B23"/>
  <c r="B24"/>
  <c r="B25"/>
  <c r="B26"/>
  <c r="B27"/>
  <c r="B9"/>
  <c r="C28"/>
  <c r="B28" s="1"/>
  <c r="C11"/>
  <c r="B11" s="1"/>
  <c r="C10"/>
  <c r="B10" s="1"/>
  <c r="B10" i="46"/>
  <c r="B12"/>
  <c r="B13"/>
  <c r="B14"/>
  <c r="B15"/>
  <c r="B16"/>
  <c r="B17"/>
  <c r="B18"/>
  <c r="B19"/>
  <c r="B20"/>
  <c r="B21"/>
  <c r="B22"/>
  <c r="B23"/>
  <c r="B24"/>
  <c r="B25"/>
  <c r="B26"/>
  <c r="B27"/>
  <c r="B9"/>
  <c r="C28"/>
  <c r="B28" s="1"/>
  <c r="C11"/>
  <c r="B11" s="1"/>
  <c r="B10" i="47"/>
  <c r="B12"/>
  <c r="B13"/>
  <c r="B14"/>
  <c r="B15"/>
  <c r="B16"/>
  <c r="B17"/>
  <c r="B18"/>
  <c r="B19"/>
  <c r="B20"/>
  <c r="B21"/>
  <c r="B22"/>
  <c r="B23"/>
  <c r="B24"/>
  <c r="B25"/>
  <c r="B26"/>
  <c r="B27"/>
  <c r="B9"/>
  <c r="C28"/>
  <c r="B28" s="1"/>
  <c r="C11"/>
  <c r="B11" s="1"/>
  <c r="B12" i="45"/>
  <c r="B13"/>
  <c r="B14"/>
  <c r="B15"/>
  <c r="B16"/>
  <c r="B17"/>
  <c r="B18"/>
  <c r="B19"/>
  <c r="B20"/>
  <c r="B21"/>
  <c r="B22"/>
  <c r="B23"/>
  <c r="B24"/>
  <c r="B25"/>
  <c r="B26"/>
  <c r="B27"/>
  <c r="B9"/>
  <c r="C28"/>
  <c r="B28" s="1"/>
  <c r="C10"/>
  <c r="C11" s="1"/>
  <c r="B11" s="1"/>
  <c r="B10" i="44"/>
  <c r="B11"/>
  <c r="B12"/>
  <c r="B13"/>
  <c r="B14"/>
  <c r="B15"/>
  <c r="B16"/>
  <c r="B17"/>
  <c r="B18"/>
  <c r="B19"/>
  <c r="B20"/>
  <c r="B21"/>
  <c r="B22"/>
  <c r="B23"/>
  <c r="B24"/>
  <c r="B25"/>
  <c r="B26"/>
  <c r="B27"/>
  <c r="B9"/>
  <c r="C28"/>
  <c r="B28" s="1"/>
  <c r="B10" i="48"/>
  <c r="B11"/>
  <c r="B12"/>
  <c r="B13"/>
  <c r="B14"/>
  <c r="B15"/>
  <c r="B16"/>
  <c r="B17"/>
  <c r="B18"/>
  <c r="B19"/>
  <c r="B20"/>
  <c r="B21"/>
  <c r="B22"/>
  <c r="B23"/>
  <c r="B24"/>
  <c r="B25"/>
  <c r="B26"/>
  <c r="B27"/>
  <c r="B9"/>
  <c r="C28"/>
  <c r="B28" s="1"/>
  <c r="B10" i="49"/>
  <c r="B11"/>
  <c r="B12"/>
  <c r="B13"/>
  <c r="B14"/>
  <c r="B15"/>
  <c r="B16"/>
  <c r="B17"/>
  <c r="B18"/>
  <c r="B19"/>
  <c r="B20"/>
  <c r="B21"/>
  <c r="B22"/>
  <c r="B23"/>
  <c r="B24"/>
  <c r="B25"/>
  <c r="B26"/>
  <c r="B27"/>
  <c r="C28"/>
  <c r="B28" s="1"/>
  <c r="B9"/>
  <c r="B11" i="51"/>
  <c r="B12"/>
  <c r="B13"/>
  <c r="B14"/>
  <c r="B15"/>
  <c r="B16"/>
  <c r="B17"/>
  <c r="B18"/>
  <c r="B19"/>
  <c r="B20"/>
  <c r="B21"/>
  <c r="B22"/>
  <c r="B23"/>
  <c r="B24"/>
  <c r="B25"/>
  <c r="B26"/>
  <c r="B27"/>
  <c r="B9"/>
  <c r="C28"/>
  <c r="B28" s="1"/>
  <c r="C10"/>
  <c r="B10" s="1"/>
  <c r="B10" i="50"/>
  <c r="B11"/>
  <c r="B12"/>
  <c r="B13"/>
  <c r="B14"/>
  <c r="B15"/>
  <c r="B16"/>
  <c r="B17"/>
  <c r="B18"/>
  <c r="B19"/>
  <c r="B20"/>
  <c r="B21"/>
  <c r="B22"/>
  <c r="B23"/>
  <c r="B24"/>
  <c r="B25"/>
  <c r="B26"/>
  <c r="B27"/>
  <c r="B9"/>
  <c r="C28"/>
  <c r="B28" s="1"/>
  <c r="B10" i="52"/>
  <c r="B11"/>
  <c r="B12"/>
  <c r="B13"/>
  <c r="B14"/>
  <c r="B15"/>
  <c r="B16"/>
  <c r="B17"/>
  <c r="B18"/>
  <c r="B19"/>
  <c r="B20"/>
  <c r="B21"/>
  <c r="B22"/>
  <c r="B23"/>
  <c r="B24"/>
  <c r="B25"/>
  <c r="B26"/>
  <c r="B27"/>
  <c r="B9"/>
  <c r="C28"/>
  <c r="B28" s="1"/>
  <c r="C10"/>
  <c r="B10" i="53"/>
  <c r="B11"/>
  <c r="B12"/>
  <c r="B13"/>
  <c r="B14"/>
  <c r="B15"/>
  <c r="B16"/>
  <c r="B17"/>
  <c r="B18"/>
  <c r="B19"/>
  <c r="B20"/>
  <c r="B21"/>
  <c r="B22"/>
  <c r="B23"/>
  <c r="B24"/>
  <c r="B25"/>
  <c r="B26"/>
  <c r="B27"/>
  <c r="B9"/>
  <c r="C28"/>
  <c r="B28" s="1"/>
  <c r="B10" i="54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9"/>
  <c r="B10" i="55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9"/>
  <c r="B10" i="56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9"/>
  <c r="B10" i="57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9"/>
  <c r="B10" i="58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9"/>
  <c r="B10" i="59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9"/>
  <c r="B10" i="6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9"/>
  <c r="B10" i="61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9"/>
  <c r="C27" i="71"/>
  <c r="B10" i="68"/>
  <c r="B11"/>
  <c r="B12"/>
  <c r="B13"/>
  <c r="B14"/>
  <c r="B15"/>
  <c r="B16"/>
  <c r="B17"/>
  <c r="B18"/>
  <c r="B19"/>
  <c r="B20"/>
  <c r="B21"/>
  <c r="B22"/>
  <c r="B23"/>
  <c r="B24"/>
  <c r="B25"/>
  <c r="B26"/>
  <c r="B9"/>
  <c r="C27"/>
  <c r="B27" s="1"/>
  <c r="B10" i="67"/>
  <c r="B11"/>
  <c r="B12"/>
  <c r="B13"/>
  <c r="B14"/>
  <c r="B15"/>
  <c r="B16"/>
  <c r="B17"/>
  <c r="B18"/>
  <c r="B19"/>
  <c r="B20"/>
  <c r="B21"/>
  <c r="B22"/>
  <c r="B23"/>
  <c r="B24"/>
  <c r="B25"/>
  <c r="B26"/>
  <c r="B9"/>
  <c r="C27"/>
  <c r="B27" s="1"/>
  <c r="B10" i="66"/>
  <c r="B11"/>
  <c r="B12"/>
  <c r="B13"/>
  <c r="B14"/>
  <c r="B15"/>
  <c r="B16"/>
  <c r="B17"/>
  <c r="B18"/>
  <c r="B19"/>
  <c r="B20"/>
  <c r="B21"/>
  <c r="B22"/>
  <c r="B23"/>
  <c r="B24"/>
  <c r="B25"/>
  <c r="B26"/>
  <c r="B9"/>
  <c r="C27"/>
  <c r="B27" s="1"/>
  <c r="B10" i="65"/>
  <c r="B11"/>
  <c r="B12"/>
  <c r="B13"/>
  <c r="B14"/>
  <c r="B15"/>
  <c r="B16"/>
  <c r="B17"/>
  <c r="B18"/>
  <c r="B19"/>
  <c r="B20"/>
  <c r="B21"/>
  <c r="B22"/>
  <c r="B23"/>
  <c r="B24"/>
  <c r="B25"/>
  <c r="B26"/>
  <c r="B9"/>
  <c r="C27"/>
  <c r="B27" s="1"/>
  <c r="B10" i="64"/>
  <c r="B11"/>
  <c r="B12"/>
  <c r="B13"/>
  <c r="B14"/>
  <c r="B15"/>
  <c r="B16"/>
  <c r="B17"/>
  <c r="B18"/>
  <c r="B19"/>
  <c r="B20"/>
  <c r="B21"/>
  <c r="B22"/>
  <c r="B23"/>
  <c r="B24"/>
  <c r="B25"/>
  <c r="B26"/>
  <c r="B9"/>
  <c r="C27"/>
  <c r="B27" s="1"/>
  <c r="B10" i="45" l="1"/>
  <c r="B10" i="42"/>
  <c r="C28" i="41"/>
  <c r="B28" s="1"/>
  <c r="C28" i="40"/>
  <c r="B28" s="1"/>
  <c r="C28" i="29"/>
  <c r="B28" s="1"/>
  <c r="B10"/>
  <c r="C28" i="34"/>
  <c r="B28" s="1"/>
  <c r="C28" i="33"/>
  <c r="B28" s="1"/>
  <c r="C28" i="32"/>
  <c r="B28" s="1"/>
  <c r="C28" i="27"/>
  <c r="B28" s="1"/>
  <c r="B10"/>
  <c r="C28" i="21"/>
  <c r="B28" s="1"/>
  <c r="B10"/>
  <c r="C28" i="23"/>
  <c r="B28" s="1"/>
  <c r="C28" i="24"/>
  <c r="B28" s="1"/>
  <c r="C28" i="25"/>
  <c r="B28" s="1"/>
  <c r="C28" i="63"/>
  <c r="B28" s="1"/>
  <c r="B10"/>
  <c r="C28" i="62"/>
  <c r="B28" s="1"/>
  <c r="C28" i="1"/>
  <c r="B28" s="1"/>
  <c r="C28" i="2"/>
  <c r="B28" s="1"/>
  <c r="B13" i="6"/>
  <c r="C11" i="11"/>
  <c r="B11" s="1"/>
  <c r="B13"/>
  <c r="C17" i="13"/>
  <c r="B17" s="1"/>
  <c r="B19"/>
  <c r="C28" i="72"/>
  <c r="B28" s="1"/>
  <c r="C11" i="18"/>
  <c r="B11" s="1"/>
  <c r="B13"/>
  <c r="C11" i="16"/>
  <c r="B11" s="1"/>
  <c r="B13"/>
  <c r="C28" i="15"/>
  <c r="B28" s="1"/>
  <c r="C11" i="14"/>
  <c r="B11" s="1"/>
  <c r="B13"/>
  <c r="C11" i="2"/>
  <c r="B11" s="1"/>
  <c r="C28" i="17"/>
  <c r="B28" s="1"/>
</calcChain>
</file>

<file path=xl/sharedStrings.xml><?xml version="1.0" encoding="utf-8"?>
<sst xmlns="http://schemas.openxmlformats.org/spreadsheetml/2006/main" count="2773" uniqueCount="154">
  <si>
    <t xml:space="preserve">                                                        Карточка лицевого счета</t>
  </si>
  <si>
    <t xml:space="preserve">     Наименование статей</t>
  </si>
  <si>
    <t>Сумма в м-ц</t>
  </si>
  <si>
    <t>Сумма за год</t>
  </si>
  <si>
    <t>Оплачено по ЕПД</t>
  </si>
  <si>
    <t>Уборка мусоропровода</t>
  </si>
  <si>
    <t>Текущий ремонт</t>
  </si>
  <si>
    <t>Содержание аварийно-спасательной службы</t>
  </si>
  <si>
    <t>Дератизация жилых домов</t>
  </si>
  <si>
    <t>Тех. осв. лифтов</t>
  </si>
  <si>
    <t>Содержание паспортного стола</t>
  </si>
  <si>
    <t>Авт.учет, ком.сбор вычислительного центра</t>
  </si>
  <si>
    <t>Содержание УК</t>
  </si>
  <si>
    <t>Прочистка ветканалов, дымоходов</t>
  </si>
  <si>
    <t>Налог УСНО</t>
  </si>
  <si>
    <t>Остаток</t>
  </si>
  <si>
    <t>Перерасход</t>
  </si>
  <si>
    <t>ИТОГО ДОХОД</t>
  </si>
  <si>
    <t>РАСХОД</t>
  </si>
  <si>
    <t>Работа сторонних организаций</t>
  </si>
  <si>
    <t>ИТОГО РАСХОД</t>
  </si>
  <si>
    <t xml:space="preserve">Справочно: </t>
  </si>
  <si>
    <t xml:space="preserve">Задолженнность жилого дома перед поставщиками </t>
  </si>
  <si>
    <t>коммунальных услуг (отопление, горячее водоснабжение</t>
  </si>
  <si>
    <t>Остаток на  начало года</t>
  </si>
  <si>
    <t>Техобслуживание инженерных сетей и конст.эл-тов</t>
  </si>
  <si>
    <t xml:space="preserve">                                                                  за 2012г.</t>
  </si>
  <si>
    <t xml:space="preserve">                             находящегося на техобслуживании УК РЭП №12</t>
  </si>
  <si>
    <t xml:space="preserve">                                                             УК РЭК №12 </t>
  </si>
  <si>
    <t>Техническое обслуживание газопровода</t>
  </si>
  <si>
    <t>холодное водоснабжение) по состоянию на  01.01.2013г.-</t>
  </si>
  <si>
    <t>Оплачено собствен. нежилых помещений,интернет</t>
  </si>
  <si>
    <t>Уборка придомовой территории  и лест.  клеток</t>
  </si>
  <si>
    <t xml:space="preserve">Задолженность по ЕПД на конец года составляет- </t>
  </si>
  <si>
    <t xml:space="preserve">                                          жилого дома №  46  ул. Ворошилова</t>
  </si>
  <si>
    <t xml:space="preserve">                                          жилого дома №  44  ул. Ворошилова</t>
  </si>
  <si>
    <t xml:space="preserve">                                          жилого дома №  42  ул. Ворошилова</t>
  </si>
  <si>
    <t xml:space="preserve">                                          жилого дома №  38  ул. Ворошилова</t>
  </si>
  <si>
    <t xml:space="preserve">                                          жилого дома №  8/1 ул.Ю.Янониса</t>
  </si>
  <si>
    <t xml:space="preserve">                                          жилого дома №  79  ул. Домостроителей</t>
  </si>
  <si>
    <t xml:space="preserve">                                          жилого дома №  77  ул. Домостроителей</t>
  </si>
  <si>
    <t xml:space="preserve">                                          жилого дома №  59  ул. Домостроителей</t>
  </si>
  <si>
    <t xml:space="preserve">                                          жилого дома №  57  ул. Домостроителей</t>
  </si>
  <si>
    <t xml:space="preserve">                                          жилого дома №  45  ул. Домостроителей</t>
  </si>
  <si>
    <t xml:space="preserve">                                          жилого дома №  43  ул. Домостроителей</t>
  </si>
  <si>
    <t xml:space="preserve">                                          жилого дома №  35 ул. Домостроителей</t>
  </si>
  <si>
    <t xml:space="preserve">                                          жилого дома №  33 ул. Домостроителей</t>
  </si>
  <si>
    <t xml:space="preserve">                                          жилого дома №  25 ул. Домостроителей</t>
  </si>
  <si>
    <t xml:space="preserve">                                          жилого дома №  19 ул. Домостроителей</t>
  </si>
  <si>
    <t xml:space="preserve">                                          жилого дома №  15 ул. Домостроителей</t>
  </si>
  <si>
    <t xml:space="preserve">                                          жилого дома №  68 ул. Кривошеина</t>
  </si>
  <si>
    <t xml:space="preserve">                                          жилого дома №  105 ул. Героев Сибиряков</t>
  </si>
  <si>
    <t xml:space="preserve">                                          жилого дома №  103 ул. Героев Сибиряков</t>
  </si>
  <si>
    <t xml:space="preserve">                                          жилого дома №  101ул. Героев Сибиряков</t>
  </si>
  <si>
    <t xml:space="preserve">                                          жилого дома №  99 ул. Героев Сибиряков</t>
  </si>
  <si>
    <t xml:space="preserve">                                          жилого дома №  89 ул. Героев Сибиряков</t>
  </si>
  <si>
    <t>Задолженность по ЕПД на конец года составляет- 3615,28</t>
  </si>
  <si>
    <t>Задолженность по ЕПД на конец года составляет- 4972,13</t>
  </si>
  <si>
    <t>Задолженность по ЕПД на конец года составляет- 114662,87</t>
  </si>
  <si>
    <t>Задолженность по ЕПД на конец года составляет- 730760,97</t>
  </si>
  <si>
    <t>Задолженность по ЕПД на конец года составляет- 436305,94</t>
  </si>
  <si>
    <t>ООО</t>
  </si>
  <si>
    <t>"УК РЭК №12"</t>
  </si>
  <si>
    <t>за 6 месяцев 2013г.</t>
  </si>
  <si>
    <t>Сумма за 6 м-цев</t>
  </si>
  <si>
    <t>ДОХОД</t>
  </si>
  <si>
    <t>Вывоз твердых бытовых отходов</t>
  </si>
  <si>
    <t>Вывоз КГО</t>
  </si>
  <si>
    <t>Задолженность по ЕПД на 01.07.2013г. составляет- 43835,98</t>
  </si>
  <si>
    <t>Директор</t>
  </si>
  <si>
    <t>С.В.Крестников</t>
  </si>
  <si>
    <t>Гл.бухгалтер</t>
  </si>
  <si>
    <t>Л.К.Артеменко</t>
  </si>
  <si>
    <t>Главный бухгалтер                                        Артеменко Л.К.</t>
  </si>
  <si>
    <t xml:space="preserve">Ст аршая по  дому                          </t>
  </si>
  <si>
    <t>Карточку лицевого счета получила</t>
  </si>
  <si>
    <t>"___"___________201    г</t>
  </si>
  <si>
    <t xml:space="preserve">                                                                  за 2013г.</t>
  </si>
  <si>
    <t>Вывоз ТБО, КГО</t>
  </si>
  <si>
    <t>ИТОГО  РАСХОД</t>
  </si>
  <si>
    <t>Остаток на конец года</t>
  </si>
  <si>
    <t>Перерасход на конец года</t>
  </si>
  <si>
    <t>холодное водоснабжение) по состоянию на  01.01.2014г.-</t>
  </si>
  <si>
    <t xml:space="preserve">                                          жилого дома №  17 ул. Домостроителей</t>
  </si>
  <si>
    <t xml:space="preserve">                                          жилого дома №  31 ул. Домостроителей</t>
  </si>
  <si>
    <t xml:space="preserve">                                             находящегося на техобслуживании </t>
  </si>
  <si>
    <t xml:space="preserve">                                    находящегося на техобслуживании </t>
  </si>
  <si>
    <t xml:space="preserve">                                        находящегося на техобслуживании </t>
  </si>
  <si>
    <t xml:space="preserve">                                                находящегося на техобслуживании </t>
  </si>
  <si>
    <t xml:space="preserve">                                          жилого дома №  37  ул. Домостроителей</t>
  </si>
  <si>
    <t xml:space="preserve">                                          жилого дома №  55  ул. Домостроителей</t>
  </si>
  <si>
    <t xml:space="preserve">                                             находящегося на техобслуживании УК РЭП №12</t>
  </si>
  <si>
    <t xml:space="preserve">                                                    находящегося на техобслуживании</t>
  </si>
  <si>
    <t xml:space="preserve">                                          жилого дома №  61  ул. Домостроителей</t>
  </si>
  <si>
    <t xml:space="preserve">                                          жилого дома №  75 ул. Домостроителей</t>
  </si>
  <si>
    <t xml:space="preserve">                                          жилого дома №  63  ул. Домостроителей</t>
  </si>
  <si>
    <t xml:space="preserve">                                          жилого дома №  24  ул. Ворошилова</t>
  </si>
  <si>
    <t xml:space="preserve">                                          жилого дома №  26  ул. Ворошилова</t>
  </si>
  <si>
    <t xml:space="preserve">                                          жилого дома №  28  ул. Ворошилова</t>
  </si>
  <si>
    <t xml:space="preserve">                                          жилого дома №  34  ул. Ворошилова</t>
  </si>
  <si>
    <t xml:space="preserve">                                                    находящегося на техобслуживании УК РЭП №12</t>
  </si>
  <si>
    <t xml:space="preserve">                                          жилого дома №  40  ул. Ворошилова</t>
  </si>
  <si>
    <t xml:space="preserve">                                          жилого дома №  87  ул. Г.Сибиряков</t>
  </si>
  <si>
    <t xml:space="preserve">                                          жилого дома №  89  ул. Г.Сибиряков</t>
  </si>
  <si>
    <t xml:space="preserve">                                          жилого дома №  99  ул. Г.Сибиряков</t>
  </si>
  <si>
    <t xml:space="preserve">                                          жилого дома №  101  ул. Г.Сибиряков</t>
  </si>
  <si>
    <t xml:space="preserve">                                          жилого дома №  103  ул. Г.Сибиряков</t>
  </si>
  <si>
    <t xml:space="preserve">                                          жилого дома №  105  ул. Г.Сибиряков</t>
  </si>
  <si>
    <t xml:space="preserve">                                          жилого дома №  8/1  ул. Ю.Янониса</t>
  </si>
  <si>
    <t xml:space="preserve">                                          жилого дома №  8/2  ул. Ю.Янониса</t>
  </si>
  <si>
    <t xml:space="preserve">                                          жилого дома № 10/2  ул. Ю.Янониса</t>
  </si>
  <si>
    <t xml:space="preserve">                                          жилого дома № 10/1  ул. Ю.Янониса</t>
  </si>
  <si>
    <t xml:space="preserve">                                          жилого дома № 12а  ул. Ю.Янониса</t>
  </si>
  <si>
    <t xml:space="preserve">                                          жилого дома № 14а  ул. Ю.Янониса</t>
  </si>
  <si>
    <t xml:space="preserve">                                          жилого дома № 15  ул. Ю.Янониса</t>
  </si>
  <si>
    <t xml:space="preserve">                                          жилого дома №  24  ул. Ю.Янониса</t>
  </si>
  <si>
    <t xml:space="preserve">                                          жилого дома №  70 ул. Кривошеина</t>
  </si>
  <si>
    <t xml:space="preserve">                                          жилого дома № 62  ул. Космонавтов</t>
  </si>
  <si>
    <t xml:space="preserve">                                          жилого дома № 60   ул.Космонавтов</t>
  </si>
  <si>
    <t xml:space="preserve">                                          жилого дома № 56  ул. Космонавтов</t>
  </si>
  <si>
    <t xml:space="preserve">                                          жилого дома № 52  ул.Космонавтов</t>
  </si>
  <si>
    <t xml:space="preserve">                                          жилого дома № 50   ул. Космонавтов</t>
  </si>
  <si>
    <t xml:space="preserve">                                          жилого дома № 24  ул. Космонавтов</t>
  </si>
  <si>
    <t xml:space="preserve">                                          жилого дома № 48  ул.Космонавтов</t>
  </si>
  <si>
    <t xml:space="preserve">                                          жилого дома № 30  ул. Космонавтов</t>
  </si>
  <si>
    <t xml:space="preserve">                                          жилого дома № 28  ул. Космонавтов</t>
  </si>
  <si>
    <t xml:space="preserve">                                          жилого дома № 26  ул. Космонавтов</t>
  </si>
  <si>
    <t xml:space="preserve">                                          жилого дома 22а ул.Космонавтов</t>
  </si>
  <si>
    <t xml:space="preserve">                                          жилого дома № 22  ул. Космонавтов</t>
  </si>
  <si>
    <t xml:space="preserve">                                          жилого дома № 18  ул.Космонавтов</t>
  </si>
  <si>
    <t xml:space="preserve">                                          жилого дома № 27 ул.Б.Пионеров</t>
  </si>
  <si>
    <t xml:space="preserve">                                          жилого дома № 25   ул. Б.Пионеров</t>
  </si>
  <si>
    <t xml:space="preserve">                                          жилого дома № 21  ул. Б.Пионеров</t>
  </si>
  <si>
    <t xml:space="preserve">                                          жилого дома № 15 ул.Б.Пионеров</t>
  </si>
  <si>
    <t xml:space="preserve">                                          жилого дома № 5  ул. Б.Пионеров</t>
  </si>
  <si>
    <t xml:space="preserve">                                          жилого дома № 3  ул. Б.Пионеров</t>
  </si>
  <si>
    <t xml:space="preserve">                                          жилого дома № 1  ул.Б.Пионеров</t>
  </si>
  <si>
    <t>холодное водоснабжение) по состоянию на  01.01.14г.-</t>
  </si>
  <si>
    <t>Остаток на  начало года по УК РЭК №12</t>
  </si>
  <si>
    <t xml:space="preserve">Остаток на  начало года </t>
  </si>
  <si>
    <t xml:space="preserve">                                                             УК РЭП №12 </t>
  </si>
  <si>
    <t xml:space="preserve">                  </t>
  </si>
  <si>
    <t xml:space="preserve"> </t>
  </si>
  <si>
    <t>с</t>
  </si>
  <si>
    <t>ВСЕГО  по карточке дицевого счета</t>
  </si>
  <si>
    <t>холодное водоснабжение) по состоянию на 01.01.14г.-</t>
  </si>
  <si>
    <t>Расчет сальдо на 01.01.2013г.</t>
  </si>
  <si>
    <t xml:space="preserve">              по УК РЭК №12</t>
  </si>
  <si>
    <t xml:space="preserve">РАСХОД </t>
  </si>
  <si>
    <t xml:space="preserve">ДОХОД </t>
  </si>
  <si>
    <t>Сальдо</t>
  </si>
  <si>
    <t xml:space="preserve">   ноябрь, декабрь 2012г.</t>
  </si>
  <si>
    <t>Остаток на  начало годапо УК РЭК №12</t>
  </si>
  <si>
    <t>холодное водоснабжение)по состоянию на  01.01.14г.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</si>
</sst>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0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6"/>
      <name val="Arial"/>
      <family val="2"/>
      <charset val="204"/>
    </font>
    <font>
      <sz val="16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2" fontId="3" fillId="0" borderId="0" xfId="0" applyNumberFormat="1" applyFont="1"/>
    <xf numFmtId="0" fontId="6" fillId="0" borderId="0" xfId="0" applyFont="1"/>
    <xf numFmtId="0" fontId="7" fillId="0" borderId="0" xfId="0" applyFont="1"/>
    <xf numFmtId="0" fontId="8" fillId="0" borderId="0" xfId="0" applyFont="1"/>
    <xf numFmtId="2" fontId="8" fillId="0" borderId="0" xfId="0" applyNumberFormat="1" applyFont="1"/>
    <xf numFmtId="2" fontId="5" fillId="0" borderId="0" xfId="0" applyNumberFormat="1" applyFont="1"/>
    <xf numFmtId="0" fontId="9" fillId="0" borderId="0" xfId="0" applyFont="1"/>
    <xf numFmtId="0" fontId="10" fillId="0" borderId="0" xfId="0" applyFont="1"/>
    <xf numFmtId="2" fontId="10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opLeftCell="A14" workbookViewId="0">
      <selection activeCell="D27" sqref="D27"/>
    </sheetView>
  </sheetViews>
  <sheetFormatPr defaultRowHeight="15"/>
  <cols>
    <col min="1" max="1" width="58.28515625" customWidth="1"/>
    <col min="2" max="2" width="13.7109375" customWidth="1"/>
    <col min="3" max="3" width="14.28515625" customWidth="1"/>
    <col min="4" max="4" width="52.85546875" customWidth="1"/>
    <col min="5" max="5" width="13.5703125" customWidth="1"/>
    <col min="6" max="6" width="13.85546875" customWidth="1"/>
  </cols>
  <sheetData>
    <row r="1" spans="1:3" ht="15.75">
      <c r="A1" s="1" t="s">
        <v>0</v>
      </c>
    </row>
    <row r="2" spans="1:3" ht="15.75">
      <c r="A2" s="1" t="s">
        <v>117</v>
      </c>
      <c r="B2" s="1"/>
      <c r="C2" s="1"/>
    </row>
    <row r="3" spans="1:3" ht="15.75">
      <c r="A3" s="1" t="s">
        <v>92</v>
      </c>
      <c r="B3" s="1"/>
      <c r="C3" s="1"/>
    </row>
    <row r="4" spans="1:3" ht="15.75">
      <c r="A4" s="1" t="s">
        <v>28</v>
      </c>
      <c r="B4" s="1"/>
      <c r="C4" s="1"/>
    </row>
    <row r="5" spans="1:3" ht="15.75">
      <c r="A5" s="1" t="s">
        <v>77</v>
      </c>
      <c r="B5" s="1"/>
      <c r="C5" s="1"/>
    </row>
    <row r="6" spans="1:3" ht="15.75">
      <c r="A6" s="1"/>
      <c r="B6" s="1"/>
      <c r="C6" s="1"/>
    </row>
    <row r="7" spans="1:3" ht="15.75">
      <c r="A7" s="1" t="s">
        <v>1</v>
      </c>
      <c r="B7" s="1" t="s">
        <v>2</v>
      </c>
      <c r="C7" s="1" t="s">
        <v>3</v>
      </c>
    </row>
    <row r="8" spans="1:3" ht="15.75">
      <c r="A8" s="1" t="s">
        <v>24</v>
      </c>
      <c r="B8" s="2"/>
      <c r="C8" s="6">
        <v>-144414.62</v>
      </c>
    </row>
    <row r="9" spans="1:3" ht="15.75">
      <c r="A9" s="1" t="s">
        <v>4</v>
      </c>
      <c r="B9" s="7">
        <f>C9/12</f>
        <v>87707.791666666672</v>
      </c>
      <c r="C9" s="1">
        <v>1052493.5</v>
      </c>
    </row>
    <row r="10" spans="1:3" ht="15.75">
      <c r="A10" s="1" t="s">
        <v>31</v>
      </c>
      <c r="B10" s="7">
        <f t="shared" ref="B10:B28" si="0">C10/12</f>
        <v>1183.3333333333333</v>
      </c>
      <c r="C10" s="1">
        <v>14200</v>
      </c>
    </row>
    <row r="11" spans="1:3" ht="15.75">
      <c r="A11" s="6" t="s">
        <v>17</v>
      </c>
      <c r="B11" s="7">
        <f t="shared" si="0"/>
        <v>88891.125</v>
      </c>
      <c r="C11" s="6">
        <v>1066693.5</v>
      </c>
    </row>
    <row r="12" spans="1:3" ht="15.75">
      <c r="A12" s="1" t="s">
        <v>18</v>
      </c>
      <c r="B12" s="7">
        <f t="shared" si="0"/>
        <v>0</v>
      </c>
      <c r="C12" s="1"/>
    </row>
    <row r="13" spans="1:3" ht="15.75">
      <c r="A13" s="1" t="s">
        <v>25</v>
      </c>
      <c r="B13" s="7">
        <f t="shared" si="0"/>
        <v>17519.427500000002</v>
      </c>
      <c r="C13" s="1">
        <f>171794.98+38438.15</f>
        <v>210233.13</v>
      </c>
    </row>
    <row r="14" spans="1:3" ht="15.75">
      <c r="A14" s="1" t="s">
        <v>32</v>
      </c>
      <c r="B14" s="7">
        <f t="shared" si="0"/>
        <v>10808.863333333335</v>
      </c>
      <c r="C14" s="1">
        <f>57785.9+71920.46</f>
        <v>129706.36000000002</v>
      </c>
    </row>
    <row r="15" spans="1:3" ht="15.75">
      <c r="A15" s="1" t="s">
        <v>5</v>
      </c>
      <c r="B15" s="7">
        <f t="shared" si="0"/>
        <v>6871.7599999999993</v>
      </c>
      <c r="C15" s="1">
        <v>82461.119999999995</v>
      </c>
    </row>
    <row r="16" spans="1:3" ht="15.75">
      <c r="A16" s="1" t="s">
        <v>6</v>
      </c>
      <c r="B16" s="7">
        <f t="shared" si="0"/>
        <v>3180.6666666666665</v>
      </c>
      <c r="C16" s="1">
        <v>38168</v>
      </c>
    </row>
    <row r="17" spans="1:3" ht="15.75">
      <c r="A17" s="1" t="s">
        <v>7</v>
      </c>
      <c r="B17" s="7">
        <f t="shared" si="0"/>
        <v>2514.855</v>
      </c>
      <c r="C17" s="1">
        <v>30178.26</v>
      </c>
    </row>
    <row r="18" spans="1:3" ht="15.75">
      <c r="A18" s="1" t="s">
        <v>8</v>
      </c>
      <c r="B18" s="7">
        <f t="shared" si="0"/>
        <v>181.89</v>
      </c>
      <c r="C18" s="1">
        <v>2182.6799999999998</v>
      </c>
    </row>
    <row r="19" spans="1:3" ht="15.75">
      <c r="A19" s="1" t="s">
        <v>9</v>
      </c>
      <c r="B19" s="7">
        <f t="shared" si="0"/>
        <v>11244.720000000001</v>
      </c>
      <c r="C19" s="1">
        <v>134936.64000000001</v>
      </c>
    </row>
    <row r="20" spans="1:3" ht="15.75">
      <c r="A20" s="1" t="s">
        <v>10</v>
      </c>
      <c r="B20" s="7">
        <f t="shared" si="0"/>
        <v>947.53583333333336</v>
      </c>
      <c r="C20" s="1">
        <v>11370.43</v>
      </c>
    </row>
    <row r="21" spans="1:3" ht="15.75">
      <c r="A21" s="1" t="s">
        <v>11</v>
      </c>
      <c r="B21" s="7">
        <f t="shared" si="0"/>
        <v>4360.2683333333334</v>
      </c>
      <c r="C21" s="1">
        <v>52323.22</v>
      </c>
    </row>
    <row r="22" spans="1:3" ht="15.75">
      <c r="A22" s="1" t="s">
        <v>12</v>
      </c>
      <c r="B22" s="7">
        <f t="shared" si="0"/>
        <v>5005.6933333333336</v>
      </c>
      <c r="C22" s="1">
        <v>60068.32</v>
      </c>
    </row>
    <row r="23" spans="1:3" ht="15.75">
      <c r="A23" s="1" t="s">
        <v>13</v>
      </c>
      <c r="B23" s="7">
        <f t="shared" si="0"/>
        <v>69.626666666666665</v>
      </c>
      <c r="C23" s="1">
        <v>835.52</v>
      </c>
    </row>
    <row r="24" spans="1:3" ht="15.75">
      <c r="A24" s="1" t="s">
        <v>14</v>
      </c>
      <c r="B24" s="7">
        <f t="shared" si="0"/>
        <v>4623.7650000000003</v>
      </c>
      <c r="C24" s="1">
        <v>55485.18</v>
      </c>
    </row>
    <row r="25" spans="1:3" ht="15.75">
      <c r="A25" s="1" t="s">
        <v>29</v>
      </c>
      <c r="B25" s="7">
        <f t="shared" si="0"/>
        <v>180.21583333333334</v>
      </c>
      <c r="C25" s="1">
        <v>2162.59</v>
      </c>
    </row>
    <row r="26" spans="1:3" ht="15.75">
      <c r="A26" s="1" t="s">
        <v>19</v>
      </c>
      <c r="B26" s="7">
        <f t="shared" si="0"/>
        <v>82.5</v>
      </c>
      <c r="C26" s="1">
        <v>990</v>
      </c>
    </row>
    <row r="27" spans="1:3" ht="15.75">
      <c r="A27" s="1" t="s">
        <v>78</v>
      </c>
      <c r="B27" s="7">
        <f t="shared" si="0"/>
        <v>16069.696666666665</v>
      </c>
      <c r="C27" s="1">
        <v>192836.36</v>
      </c>
    </row>
    <row r="28" spans="1:3" ht="15.75">
      <c r="A28" s="6" t="s">
        <v>79</v>
      </c>
      <c r="B28" s="7">
        <f t="shared" si="0"/>
        <v>83661.484166666662</v>
      </c>
      <c r="C28" s="6">
        <f>SUM(C13:C27)</f>
        <v>1003937.8099999999</v>
      </c>
    </row>
    <row r="29" spans="1:3" ht="15.75">
      <c r="A29" s="6" t="s">
        <v>80</v>
      </c>
      <c r="B29" s="7"/>
      <c r="C29" s="6"/>
    </row>
    <row r="30" spans="1:3" ht="15.75">
      <c r="A30" s="6" t="s">
        <v>81</v>
      </c>
      <c r="B30" s="1"/>
      <c r="C30" s="6">
        <v>81658.929999999993</v>
      </c>
    </row>
    <row r="31" spans="1:3" ht="15.75">
      <c r="A31" s="1" t="s">
        <v>33</v>
      </c>
      <c r="B31" s="6">
        <v>76968.960000000006</v>
      </c>
      <c r="C31" s="1"/>
    </row>
    <row r="32" spans="1:3" ht="15.75">
      <c r="A32" s="1" t="s">
        <v>22</v>
      </c>
      <c r="B32" s="1"/>
      <c r="C32" s="1"/>
    </row>
    <row r="33" spans="1:2" ht="15.75">
      <c r="A33" s="1" t="s">
        <v>23</v>
      </c>
    </row>
    <row r="34" spans="1:2" ht="15.75">
      <c r="A34" s="1" t="s">
        <v>82</v>
      </c>
      <c r="B34" s="4">
        <v>16223.74</v>
      </c>
    </row>
    <row r="36" spans="1:2" ht="15.75">
      <c r="A36" s="10" t="s">
        <v>73</v>
      </c>
    </row>
    <row r="38" spans="1:2">
      <c r="A38" t="s">
        <v>75</v>
      </c>
    </row>
    <row r="39" spans="1:2">
      <c r="A39" t="s">
        <v>74</v>
      </c>
    </row>
    <row r="41" spans="1:2">
      <c r="A41" t="s">
        <v>76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41"/>
  <sheetViews>
    <sheetView workbookViewId="0">
      <selection activeCell="D27" sqref="D27"/>
    </sheetView>
  </sheetViews>
  <sheetFormatPr defaultRowHeight="15"/>
  <cols>
    <col min="1" max="1" width="58.28515625" customWidth="1"/>
    <col min="2" max="2" width="13.7109375" customWidth="1"/>
    <col min="3" max="3" width="14.42578125" customWidth="1"/>
  </cols>
  <sheetData>
    <row r="1" spans="1:3" ht="15.75">
      <c r="A1" s="1" t="s">
        <v>0</v>
      </c>
    </row>
    <row r="2" spans="1:3" ht="15.75">
      <c r="A2" s="1" t="s">
        <v>126</v>
      </c>
      <c r="B2" s="1"/>
      <c r="C2" s="1"/>
    </row>
    <row r="3" spans="1:3" ht="15.75">
      <c r="A3" s="1" t="s">
        <v>92</v>
      </c>
      <c r="B3" s="1"/>
      <c r="C3" s="1"/>
    </row>
    <row r="4" spans="1:3" ht="15.75">
      <c r="A4" s="1" t="s">
        <v>28</v>
      </c>
      <c r="B4" s="1"/>
      <c r="C4" s="1"/>
    </row>
    <row r="5" spans="1:3" ht="15.75">
      <c r="A5" s="1" t="s">
        <v>77</v>
      </c>
      <c r="B5" s="1"/>
      <c r="C5" s="1"/>
    </row>
    <row r="6" spans="1:3" ht="15.75">
      <c r="A6" s="1"/>
      <c r="B6" s="1"/>
      <c r="C6" s="1"/>
    </row>
    <row r="7" spans="1:3" ht="15.75">
      <c r="A7" s="1" t="s">
        <v>1</v>
      </c>
      <c r="B7" s="1" t="s">
        <v>2</v>
      </c>
      <c r="C7" s="1" t="s">
        <v>3</v>
      </c>
    </row>
    <row r="8" spans="1:3" ht="15.75">
      <c r="A8" s="1" t="s">
        <v>24</v>
      </c>
      <c r="B8" s="2"/>
      <c r="C8" s="6">
        <v>82069.61</v>
      </c>
    </row>
    <row r="9" spans="1:3" ht="15.75">
      <c r="A9" s="1" t="s">
        <v>4</v>
      </c>
      <c r="B9" s="7">
        <f>C9/12</f>
        <v>38311.133333333331</v>
      </c>
      <c r="C9" s="1">
        <v>459733.6</v>
      </c>
    </row>
    <row r="10" spans="1:3" ht="15.75">
      <c r="A10" s="1" t="s">
        <v>31</v>
      </c>
      <c r="B10" s="7">
        <f t="shared" ref="B10:B28" si="0">C10/12</f>
        <v>1000.8333333333334</v>
      </c>
      <c r="C10" s="1">
        <v>12010</v>
      </c>
    </row>
    <row r="11" spans="1:3" ht="15.75">
      <c r="A11" s="6" t="s">
        <v>17</v>
      </c>
      <c r="B11" s="7">
        <f t="shared" si="0"/>
        <v>39311.966666666667</v>
      </c>
      <c r="C11" s="6">
        <f>SUM(C9:C10)</f>
        <v>471743.6</v>
      </c>
    </row>
    <row r="12" spans="1:3" ht="15.75">
      <c r="A12" s="1" t="s">
        <v>18</v>
      </c>
      <c r="B12" s="7">
        <f t="shared" si="0"/>
        <v>0</v>
      </c>
      <c r="C12" s="1"/>
    </row>
    <row r="13" spans="1:3" ht="15.75">
      <c r="A13" s="1" t="s">
        <v>25</v>
      </c>
      <c r="B13" s="7">
        <f t="shared" si="0"/>
        <v>9784.9475000000002</v>
      </c>
      <c r="C13" s="1">
        <f>95950.9+21468.47</f>
        <v>117419.37</v>
      </c>
    </row>
    <row r="14" spans="1:3" ht="15.75">
      <c r="A14" s="1" t="s">
        <v>32</v>
      </c>
      <c r="B14" s="7">
        <f t="shared" si="0"/>
        <v>6952.7425000000003</v>
      </c>
      <c r="C14" s="1">
        <f>30089.38+53343.53</f>
        <v>83432.91</v>
      </c>
    </row>
    <row r="15" spans="1:3" ht="15.75">
      <c r="A15" s="1" t="s">
        <v>5</v>
      </c>
      <c r="B15" s="7">
        <f t="shared" si="0"/>
        <v>0</v>
      </c>
      <c r="C15" s="1"/>
    </row>
    <row r="16" spans="1:3" ht="15.75">
      <c r="A16" s="1" t="s">
        <v>6</v>
      </c>
      <c r="B16" s="7">
        <f t="shared" si="0"/>
        <v>8343.0833333333339</v>
      </c>
      <c r="C16" s="1">
        <v>100117</v>
      </c>
    </row>
    <row r="17" spans="1:3" ht="15.75">
      <c r="A17" s="1" t="s">
        <v>7</v>
      </c>
      <c r="B17" s="7">
        <f t="shared" si="0"/>
        <v>1412.36</v>
      </c>
      <c r="C17" s="1">
        <v>16948.32</v>
      </c>
    </row>
    <row r="18" spans="1:3" ht="15.75">
      <c r="A18" s="1" t="s">
        <v>8</v>
      </c>
      <c r="B18" s="7">
        <f t="shared" si="0"/>
        <v>215.68499999999997</v>
      </c>
      <c r="C18" s="1">
        <v>2588.2199999999998</v>
      </c>
    </row>
    <row r="19" spans="1:3" ht="15.75">
      <c r="A19" s="1" t="s">
        <v>9</v>
      </c>
      <c r="B19" s="7">
        <f t="shared" si="0"/>
        <v>0</v>
      </c>
      <c r="C19" s="1"/>
    </row>
    <row r="20" spans="1:3" ht="15.75">
      <c r="A20" s="1" t="s">
        <v>10</v>
      </c>
      <c r="B20" s="7">
        <f t="shared" si="0"/>
        <v>758.02833333333331</v>
      </c>
      <c r="C20" s="1">
        <v>9096.34</v>
      </c>
    </row>
    <row r="21" spans="1:3" ht="15.75">
      <c r="A21" s="1" t="s">
        <v>11</v>
      </c>
      <c r="B21" s="7">
        <f t="shared" si="0"/>
        <v>1908.9358333333332</v>
      </c>
      <c r="C21" s="1">
        <v>22907.23</v>
      </c>
    </row>
    <row r="22" spans="1:3" ht="15.75">
      <c r="A22" s="1" t="s">
        <v>12</v>
      </c>
      <c r="B22" s="7">
        <f t="shared" si="0"/>
        <v>2795.7791666666667</v>
      </c>
      <c r="C22" s="1">
        <v>33549.35</v>
      </c>
    </row>
    <row r="23" spans="1:3" ht="15.75">
      <c r="A23" s="1" t="s">
        <v>13</v>
      </c>
      <c r="B23" s="7">
        <f t="shared" si="0"/>
        <v>579.21833333333336</v>
      </c>
      <c r="C23" s="1">
        <v>6950.62</v>
      </c>
    </row>
    <row r="24" spans="1:3" ht="15.75">
      <c r="A24" s="1" t="s">
        <v>14</v>
      </c>
      <c r="B24" s="7">
        <f t="shared" si="0"/>
        <v>2044.8533333333335</v>
      </c>
      <c r="C24" s="1">
        <v>24538.240000000002</v>
      </c>
    </row>
    <row r="25" spans="1:3" ht="15.75">
      <c r="A25" s="1" t="s">
        <v>29</v>
      </c>
      <c r="B25" s="7">
        <f t="shared" si="0"/>
        <v>241.83249999999998</v>
      </c>
      <c r="C25" s="1">
        <v>2901.99</v>
      </c>
    </row>
    <row r="26" spans="1:3" ht="15.75">
      <c r="A26" s="1" t="s">
        <v>19</v>
      </c>
      <c r="B26" s="7">
        <f t="shared" si="0"/>
        <v>138.39166666666668</v>
      </c>
      <c r="C26" s="1">
        <v>1660.7</v>
      </c>
    </row>
    <row r="27" spans="1:3" ht="15.75">
      <c r="A27" s="1" t="s">
        <v>78</v>
      </c>
      <c r="B27" s="7">
        <f t="shared" si="0"/>
        <v>9078.5233333333326</v>
      </c>
      <c r="C27" s="1">
        <v>108942.28</v>
      </c>
    </row>
    <row r="28" spans="1:3" ht="15.75">
      <c r="A28" s="6" t="s">
        <v>79</v>
      </c>
      <c r="B28" s="7">
        <f t="shared" si="0"/>
        <v>44254.380833333329</v>
      </c>
      <c r="C28" s="6">
        <f>SUM(C13:C27)</f>
        <v>531052.56999999995</v>
      </c>
    </row>
    <row r="29" spans="1:3" ht="15.75">
      <c r="A29" s="6" t="s">
        <v>80</v>
      </c>
      <c r="B29" s="7"/>
      <c r="C29" s="6">
        <v>22760.639999999999</v>
      </c>
    </row>
    <row r="30" spans="1:3" ht="15.75">
      <c r="A30" s="6" t="s">
        <v>81</v>
      </c>
      <c r="B30" s="1"/>
      <c r="C30" s="6"/>
    </row>
    <row r="31" spans="1:3" ht="15.75">
      <c r="A31" s="1" t="s">
        <v>33</v>
      </c>
      <c r="B31" s="6">
        <v>108727.23</v>
      </c>
      <c r="C31" s="1"/>
    </row>
    <row r="32" spans="1:3" ht="15.75">
      <c r="A32" s="1" t="s">
        <v>22</v>
      </c>
      <c r="B32" s="1"/>
      <c r="C32" s="1"/>
    </row>
    <row r="33" spans="1:2" ht="15.75">
      <c r="A33" s="1" t="s">
        <v>23</v>
      </c>
    </row>
    <row r="34" spans="1:2" ht="15.75">
      <c r="A34" s="1" t="s">
        <v>82</v>
      </c>
      <c r="B34" s="13">
        <v>0</v>
      </c>
    </row>
    <row r="36" spans="1:2" ht="15.75">
      <c r="A36" s="10" t="s">
        <v>73</v>
      </c>
    </row>
    <row r="38" spans="1:2">
      <c r="A38" t="s">
        <v>75</v>
      </c>
    </row>
    <row r="39" spans="1:2">
      <c r="A39" t="s">
        <v>74</v>
      </c>
    </row>
    <row r="41" spans="1:2">
      <c r="A41" t="s">
        <v>76</v>
      </c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41"/>
  <sheetViews>
    <sheetView topLeftCell="A7" workbookViewId="0">
      <selection activeCell="D26" sqref="D26"/>
    </sheetView>
  </sheetViews>
  <sheetFormatPr defaultRowHeight="15"/>
  <cols>
    <col min="1" max="1" width="56.5703125" customWidth="1"/>
    <col min="2" max="2" width="13.5703125" customWidth="1"/>
    <col min="3" max="3" width="14" customWidth="1"/>
  </cols>
  <sheetData>
    <row r="1" spans="1:3" ht="15.75">
      <c r="A1" s="1" t="s">
        <v>0</v>
      </c>
    </row>
    <row r="2" spans="1:3" ht="15.75">
      <c r="A2" s="1" t="s">
        <v>127</v>
      </c>
      <c r="B2" s="1"/>
      <c r="C2" s="1"/>
    </row>
    <row r="3" spans="1:3" ht="15.75">
      <c r="A3" s="1" t="s">
        <v>100</v>
      </c>
      <c r="B3" s="1"/>
      <c r="C3" s="1"/>
    </row>
    <row r="4" spans="1:3" ht="15.75">
      <c r="A4" s="1" t="s">
        <v>28</v>
      </c>
      <c r="B4" s="1"/>
      <c r="C4" s="1"/>
    </row>
    <row r="5" spans="1:3" ht="15.75">
      <c r="A5" s="1" t="s">
        <v>77</v>
      </c>
      <c r="B5" s="1"/>
      <c r="C5" s="1"/>
    </row>
    <row r="6" spans="1:3" ht="15.75">
      <c r="A6" s="1"/>
      <c r="B6" s="1"/>
      <c r="C6" s="1"/>
    </row>
    <row r="7" spans="1:3" ht="15.75">
      <c r="A7" s="1" t="s">
        <v>1</v>
      </c>
      <c r="B7" s="1" t="s">
        <v>2</v>
      </c>
      <c r="C7" s="1" t="s">
        <v>3</v>
      </c>
    </row>
    <row r="8" spans="1:3" ht="15.75">
      <c r="A8" s="1" t="s">
        <v>139</v>
      </c>
      <c r="B8" s="2"/>
      <c r="C8" s="6">
        <v>88430.06</v>
      </c>
    </row>
    <row r="9" spans="1:3" ht="15.75">
      <c r="A9" s="1" t="s">
        <v>4</v>
      </c>
      <c r="B9" s="7">
        <f>C9/12</f>
        <v>29443.311666666665</v>
      </c>
      <c r="C9" s="1">
        <v>353319.74</v>
      </c>
    </row>
    <row r="10" spans="1:3" ht="15.75">
      <c r="A10" s="1" t="s">
        <v>31</v>
      </c>
      <c r="B10" s="7">
        <f t="shared" ref="B10:B28" si="0">C10/12</f>
        <v>621.22833333333335</v>
      </c>
      <c r="C10" s="1">
        <f>2444.74+5010</f>
        <v>7454.74</v>
      </c>
    </row>
    <row r="11" spans="1:3" ht="15.75">
      <c r="A11" s="6" t="s">
        <v>17</v>
      </c>
      <c r="B11" s="7">
        <f t="shared" si="0"/>
        <v>30064.539999999997</v>
      </c>
      <c r="C11" s="6">
        <f>SUM(C9:C10)</f>
        <v>360774.48</v>
      </c>
    </row>
    <row r="12" spans="1:3" ht="15.75">
      <c r="A12" s="1" t="s">
        <v>18</v>
      </c>
      <c r="B12" s="7">
        <f t="shared" si="0"/>
        <v>0</v>
      </c>
      <c r="C12" s="1"/>
    </row>
    <row r="13" spans="1:3" ht="15.75">
      <c r="A13" s="1" t="s">
        <v>25</v>
      </c>
      <c r="B13" s="7">
        <f t="shared" si="0"/>
        <v>11035.971666666666</v>
      </c>
      <c r="C13" s="1">
        <f>108218.41+24213.25</f>
        <v>132431.66</v>
      </c>
    </row>
    <row r="14" spans="1:3" ht="15.75">
      <c r="A14" s="1" t="s">
        <v>32</v>
      </c>
      <c r="B14" s="7">
        <f t="shared" si="0"/>
        <v>6717.3441666666668</v>
      </c>
      <c r="C14" s="1">
        <f>24102.67+56505.46</f>
        <v>80608.13</v>
      </c>
    </row>
    <row r="15" spans="1:3" ht="15.75">
      <c r="A15" s="1" t="s">
        <v>5</v>
      </c>
      <c r="B15" s="7">
        <f t="shared" si="0"/>
        <v>0</v>
      </c>
      <c r="C15" s="1"/>
    </row>
    <row r="16" spans="1:3" ht="15.75">
      <c r="A16" s="1" t="s">
        <v>6</v>
      </c>
      <c r="B16" s="7">
        <f t="shared" si="0"/>
        <v>6827.916666666667</v>
      </c>
      <c r="C16" s="1">
        <v>81935</v>
      </c>
    </row>
    <row r="17" spans="1:3" ht="15.75">
      <c r="A17" s="1" t="s">
        <v>7</v>
      </c>
      <c r="B17" s="7">
        <f t="shared" si="0"/>
        <v>1536.5050000000001</v>
      </c>
      <c r="C17" s="1">
        <v>18438.060000000001</v>
      </c>
    </row>
    <row r="18" spans="1:3" ht="15.75">
      <c r="A18" s="1" t="s">
        <v>8</v>
      </c>
      <c r="B18" s="7">
        <f t="shared" si="0"/>
        <v>25.033333333333331</v>
      </c>
      <c r="C18" s="1">
        <v>300.39999999999998</v>
      </c>
    </row>
    <row r="19" spans="1:3" ht="15.75">
      <c r="A19" s="1" t="s">
        <v>9</v>
      </c>
      <c r="B19" s="7">
        <f t="shared" si="0"/>
        <v>0</v>
      </c>
      <c r="C19" s="1"/>
    </row>
    <row r="20" spans="1:3" ht="15.75">
      <c r="A20" s="1" t="s">
        <v>10</v>
      </c>
      <c r="B20" s="7">
        <f t="shared" si="0"/>
        <v>606.42250000000001</v>
      </c>
      <c r="C20" s="1">
        <v>7277.07</v>
      </c>
    </row>
    <row r="21" spans="1:3" ht="15.75">
      <c r="A21" s="1" t="s">
        <v>11</v>
      </c>
      <c r="B21" s="7">
        <f t="shared" si="0"/>
        <v>1465.3183333333334</v>
      </c>
      <c r="C21" s="1">
        <v>17583.82</v>
      </c>
    </row>
    <row r="22" spans="1:3" ht="15.75">
      <c r="A22" s="1" t="s">
        <v>12</v>
      </c>
      <c r="B22" s="7">
        <f t="shared" si="0"/>
        <v>3153.2249999999999</v>
      </c>
      <c r="C22" s="1">
        <v>37838.699999999997</v>
      </c>
    </row>
    <row r="23" spans="1:3" ht="15.75">
      <c r="A23" s="1" t="s">
        <v>13</v>
      </c>
      <c r="B23" s="7">
        <f t="shared" si="0"/>
        <v>81.374166666666667</v>
      </c>
      <c r="C23" s="1">
        <v>976.49</v>
      </c>
    </row>
    <row r="24" spans="1:3" ht="15.75">
      <c r="A24" s="1" t="s">
        <v>14</v>
      </c>
      <c r="B24" s="7">
        <f t="shared" si="0"/>
        <v>1563.8383333333334</v>
      </c>
      <c r="C24" s="1">
        <v>18766.060000000001</v>
      </c>
    </row>
    <row r="25" spans="1:3" ht="15.75">
      <c r="A25" s="1" t="s">
        <v>29</v>
      </c>
      <c r="B25" s="7">
        <f t="shared" si="0"/>
        <v>239.82583333333332</v>
      </c>
      <c r="C25" s="1">
        <v>2877.91</v>
      </c>
    </row>
    <row r="26" spans="1:3" ht="15.75">
      <c r="A26" s="1" t="s">
        <v>19</v>
      </c>
      <c r="B26" s="7">
        <f t="shared" si="0"/>
        <v>0</v>
      </c>
      <c r="C26" s="1"/>
    </row>
    <row r="27" spans="1:3" ht="15.75">
      <c r="A27" s="1" t="s">
        <v>78</v>
      </c>
      <c r="B27" s="7">
        <f t="shared" si="0"/>
        <v>7077.2583333333341</v>
      </c>
      <c r="C27" s="1">
        <v>84927.1</v>
      </c>
    </row>
    <row r="28" spans="1:3" ht="15.75">
      <c r="A28" s="6" t="s">
        <v>79</v>
      </c>
      <c r="B28" s="7">
        <f t="shared" si="0"/>
        <v>40330.033333333333</v>
      </c>
      <c r="C28" s="6">
        <f>SUM(C13:C27)</f>
        <v>483960.4</v>
      </c>
    </row>
    <row r="29" spans="1:3" ht="15.75">
      <c r="A29" s="6" t="s">
        <v>80</v>
      </c>
      <c r="B29" s="7"/>
      <c r="C29" s="6"/>
    </row>
    <row r="30" spans="1:3" ht="15.75">
      <c r="A30" s="6" t="s">
        <v>81</v>
      </c>
      <c r="B30" s="1"/>
      <c r="C30" s="6">
        <v>34755.86</v>
      </c>
    </row>
    <row r="31" spans="1:3" ht="15.75">
      <c r="A31" s="1" t="s">
        <v>33</v>
      </c>
      <c r="B31" s="6">
        <v>31902.959999999999</v>
      </c>
      <c r="C31" s="1"/>
    </row>
    <row r="32" spans="1:3" ht="15.75">
      <c r="A32" s="1" t="s">
        <v>22</v>
      </c>
      <c r="B32" s="1"/>
      <c r="C32" s="1"/>
    </row>
    <row r="33" spans="1:2" ht="15.75">
      <c r="A33" s="1" t="s">
        <v>23</v>
      </c>
    </row>
    <row r="34" spans="1:2" ht="15.75">
      <c r="A34" s="1" t="s">
        <v>137</v>
      </c>
      <c r="B34" s="4">
        <v>0</v>
      </c>
    </row>
    <row r="36" spans="1:2" ht="15.75">
      <c r="A36" s="10" t="s">
        <v>73</v>
      </c>
    </row>
    <row r="38" spans="1:2">
      <c r="A38" t="s">
        <v>75</v>
      </c>
    </row>
    <row r="39" spans="1:2">
      <c r="A39" t="s">
        <v>74</v>
      </c>
    </row>
    <row r="41" spans="1:2">
      <c r="A41" t="s">
        <v>76</v>
      </c>
    </row>
  </sheetData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41"/>
  <sheetViews>
    <sheetView topLeftCell="A4" workbookViewId="0">
      <selection activeCell="E26" sqref="E26"/>
    </sheetView>
  </sheetViews>
  <sheetFormatPr defaultRowHeight="15"/>
  <cols>
    <col min="1" max="1" width="58.7109375" customWidth="1"/>
    <col min="2" max="2" width="12.5703125" customWidth="1"/>
    <col min="3" max="3" width="14.28515625" customWidth="1"/>
  </cols>
  <sheetData>
    <row r="1" spans="1:3" ht="15.75">
      <c r="A1" s="1" t="s">
        <v>0</v>
      </c>
    </row>
    <row r="2" spans="1:3" ht="15.75">
      <c r="A2" s="1" t="s">
        <v>128</v>
      </c>
      <c r="B2" s="1"/>
      <c r="C2" s="1"/>
    </row>
    <row r="3" spans="1:3" ht="15.75">
      <c r="A3" s="1" t="s">
        <v>92</v>
      </c>
      <c r="B3" s="1"/>
      <c r="C3" s="1"/>
    </row>
    <row r="4" spans="1:3" ht="15.75">
      <c r="A4" s="1" t="s">
        <v>28</v>
      </c>
      <c r="B4" s="1"/>
      <c r="C4" s="1"/>
    </row>
    <row r="5" spans="1:3" ht="15.75">
      <c r="A5" s="1" t="s">
        <v>77</v>
      </c>
      <c r="B5" s="1"/>
      <c r="C5" s="1"/>
    </row>
    <row r="6" spans="1:3" ht="15.75">
      <c r="A6" s="1"/>
      <c r="B6" s="1"/>
      <c r="C6" s="1"/>
    </row>
    <row r="7" spans="1:3" ht="15.75">
      <c r="A7" s="1" t="s">
        <v>1</v>
      </c>
      <c r="B7" s="1" t="s">
        <v>2</v>
      </c>
      <c r="C7" s="1" t="s">
        <v>3</v>
      </c>
    </row>
    <row r="8" spans="1:3" ht="15.75">
      <c r="A8" s="1" t="s">
        <v>138</v>
      </c>
      <c r="B8" s="2"/>
      <c r="C8" s="6">
        <v>-13655.87</v>
      </c>
    </row>
    <row r="9" spans="1:3" ht="15.75">
      <c r="A9" s="1" t="s">
        <v>4</v>
      </c>
      <c r="B9" s="7">
        <f>C9/12</f>
        <v>34216.208333333336</v>
      </c>
      <c r="C9" s="1">
        <v>410594.5</v>
      </c>
    </row>
    <row r="10" spans="1:3" ht="15.75">
      <c r="A10" s="1" t="s">
        <v>31</v>
      </c>
      <c r="B10" s="7">
        <f t="shared" ref="B10:B28" si="0">C10/12</f>
        <v>2928.5083333333332</v>
      </c>
      <c r="C10" s="1">
        <f>5346.6+29795.5</f>
        <v>35142.1</v>
      </c>
    </row>
    <row r="11" spans="1:3" ht="15.75">
      <c r="A11" s="6" t="s">
        <v>17</v>
      </c>
      <c r="B11" s="7">
        <f t="shared" si="0"/>
        <v>37144.716666666667</v>
      </c>
      <c r="C11" s="6">
        <f>SUM(C9:C10)</f>
        <v>445736.6</v>
      </c>
    </row>
    <row r="12" spans="1:3" ht="15.75">
      <c r="A12" s="1" t="s">
        <v>18</v>
      </c>
      <c r="B12" s="7">
        <f t="shared" si="0"/>
        <v>0</v>
      </c>
      <c r="C12" s="1"/>
    </row>
    <row r="13" spans="1:3" ht="15.75">
      <c r="A13" s="1" t="s">
        <v>25</v>
      </c>
      <c r="B13" s="7">
        <f t="shared" si="0"/>
        <v>9291.56</v>
      </c>
      <c r="C13" s="1">
        <f>91112.76+20385.96</f>
        <v>111498.72</v>
      </c>
    </row>
    <row r="14" spans="1:3" ht="15.75">
      <c r="A14" s="1" t="s">
        <v>32</v>
      </c>
      <c r="B14" s="7">
        <f t="shared" si="0"/>
        <v>8466.1583333333328</v>
      </c>
      <c r="C14" s="1">
        <f>24845.28+76748.62</f>
        <v>101593.9</v>
      </c>
    </row>
    <row r="15" spans="1:3" ht="15.75">
      <c r="A15" s="1" t="s">
        <v>5</v>
      </c>
      <c r="B15" s="7">
        <f t="shared" si="0"/>
        <v>0</v>
      </c>
      <c r="C15" s="1"/>
    </row>
    <row r="16" spans="1:3" ht="15.75">
      <c r="A16" s="1" t="s">
        <v>6</v>
      </c>
      <c r="B16" s="7">
        <f t="shared" si="0"/>
        <v>7748.5</v>
      </c>
      <c r="C16" s="1">
        <v>92982</v>
      </c>
    </row>
    <row r="17" spans="1:3" ht="15.75">
      <c r="A17" s="1" t="s">
        <v>7</v>
      </c>
      <c r="B17" s="7">
        <f t="shared" si="0"/>
        <v>1373.26</v>
      </c>
      <c r="C17" s="1">
        <v>16479.12</v>
      </c>
    </row>
    <row r="18" spans="1:3" ht="15.75">
      <c r="A18" s="1" t="s">
        <v>8</v>
      </c>
      <c r="B18" s="7">
        <f t="shared" si="0"/>
        <v>386.14333333333337</v>
      </c>
      <c r="C18" s="1">
        <v>4633.72</v>
      </c>
    </row>
    <row r="19" spans="1:3" ht="15.75">
      <c r="A19" s="1" t="s">
        <v>9</v>
      </c>
      <c r="B19" s="7">
        <f t="shared" si="0"/>
        <v>0</v>
      </c>
      <c r="C19" s="1"/>
    </row>
    <row r="20" spans="1:3" ht="15.75">
      <c r="A20" s="1" t="s">
        <v>10</v>
      </c>
      <c r="B20" s="7">
        <f t="shared" si="0"/>
        <v>710.65166666666664</v>
      </c>
      <c r="C20" s="1">
        <v>8527.82</v>
      </c>
    </row>
    <row r="21" spans="1:3" ht="15.75">
      <c r="A21" s="1" t="s">
        <v>11</v>
      </c>
      <c r="B21" s="7">
        <f t="shared" si="0"/>
        <v>1720.6008333333332</v>
      </c>
      <c r="C21" s="1">
        <v>20647.21</v>
      </c>
    </row>
    <row r="22" spans="1:3" ht="15.75">
      <c r="A22" s="1" t="s">
        <v>12</v>
      </c>
      <c r="B22" s="7">
        <f t="shared" si="0"/>
        <v>2654.8074999999999</v>
      </c>
      <c r="C22" s="1">
        <v>31857.69</v>
      </c>
    </row>
    <row r="23" spans="1:3" ht="15.75">
      <c r="A23" s="1" t="s">
        <v>13</v>
      </c>
      <c r="B23" s="7">
        <f t="shared" si="0"/>
        <v>550.9466666666666</v>
      </c>
      <c r="C23" s="1">
        <v>6611.36</v>
      </c>
    </row>
    <row r="24" spans="1:3" ht="15.75">
      <c r="A24" s="1" t="s">
        <v>14</v>
      </c>
      <c r="B24" s="7">
        <f t="shared" si="0"/>
        <v>1932.1216666666667</v>
      </c>
      <c r="C24" s="1">
        <v>23185.46</v>
      </c>
    </row>
    <row r="25" spans="1:3" ht="15.75">
      <c r="A25" s="1" t="s">
        <v>29</v>
      </c>
      <c r="B25" s="7">
        <f t="shared" si="0"/>
        <v>242.76416666666668</v>
      </c>
      <c r="C25" s="1">
        <v>2913.17</v>
      </c>
    </row>
    <row r="26" spans="1:3" ht="15.75">
      <c r="A26" s="1" t="s">
        <v>19</v>
      </c>
      <c r="B26" s="7">
        <f t="shared" si="0"/>
        <v>957.83333333333337</v>
      </c>
      <c r="C26" s="1">
        <v>11494</v>
      </c>
    </row>
    <row r="27" spans="1:3" ht="15.75">
      <c r="A27" s="1" t="s">
        <v>78</v>
      </c>
      <c r="B27" s="7">
        <f t="shared" si="0"/>
        <v>8168.7583333333341</v>
      </c>
      <c r="C27" s="1">
        <v>98025.1</v>
      </c>
    </row>
    <row r="28" spans="1:3" ht="15.75">
      <c r="A28" s="6" t="s">
        <v>79</v>
      </c>
      <c r="B28" s="7">
        <f t="shared" si="0"/>
        <v>44204.105833333335</v>
      </c>
      <c r="C28" s="6">
        <f>SUM(C13:C27)</f>
        <v>530449.27</v>
      </c>
    </row>
    <row r="29" spans="1:3" ht="15.75">
      <c r="A29" s="6" t="s">
        <v>80</v>
      </c>
      <c r="B29" s="7"/>
      <c r="C29" s="6"/>
    </row>
    <row r="30" spans="1:3" ht="15.75">
      <c r="A30" s="6" t="s">
        <v>81</v>
      </c>
      <c r="B30" s="1"/>
      <c r="C30" s="6">
        <v>98368.54</v>
      </c>
    </row>
    <row r="31" spans="1:3" ht="15.75">
      <c r="A31" s="1" t="s">
        <v>33</v>
      </c>
      <c r="B31" s="6">
        <v>71510.12</v>
      </c>
      <c r="C31" s="1"/>
    </row>
    <row r="32" spans="1:3" ht="15.75">
      <c r="A32" s="1" t="s">
        <v>22</v>
      </c>
      <c r="B32" s="1"/>
      <c r="C32" s="1"/>
    </row>
    <row r="33" spans="1:2" ht="15.75">
      <c r="A33" s="1" t="s">
        <v>23</v>
      </c>
    </row>
    <row r="34" spans="1:2" ht="15.75">
      <c r="A34" s="1" t="s">
        <v>82</v>
      </c>
      <c r="B34" s="4">
        <v>10635.48</v>
      </c>
    </row>
    <row r="36" spans="1:2" ht="15.75">
      <c r="A36" s="10" t="s">
        <v>73</v>
      </c>
    </row>
    <row r="38" spans="1:2">
      <c r="A38" t="s">
        <v>75</v>
      </c>
    </row>
    <row r="39" spans="1:2">
      <c r="A39" t="s">
        <v>74</v>
      </c>
    </row>
    <row r="41" spans="1:2">
      <c r="A41" t="s">
        <v>76</v>
      </c>
    </row>
  </sheetData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7"/>
  <sheetViews>
    <sheetView topLeftCell="A17" workbookViewId="0">
      <selection activeCell="B15" sqref="B15:B34"/>
    </sheetView>
  </sheetViews>
  <sheetFormatPr defaultRowHeight="15"/>
  <cols>
    <col min="1" max="1" width="53.5703125" customWidth="1"/>
    <col min="2" max="2" width="14.5703125" customWidth="1"/>
    <col min="3" max="3" width="14.28515625" customWidth="1"/>
  </cols>
  <sheetData>
    <row r="1" spans="1:6" ht="15.75">
      <c r="A1" s="1"/>
    </row>
    <row r="2" spans="1:6" ht="15.75">
      <c r="A2" s="1"/>
      <c r="B2" s="1"/>
      <c r="C2" s="1"/>
    </row>
    <row r="3" spans="1:6" ht="15.75">
      <c r="A3" s="1"/>
      <c r="B3" s="1"/>
      <c r="C3" s="1"/>
    </row>
    <row r="4" spans="1:6" ht="15.75">
      <c r="A4" s="1"/>
      <c r="B4" s="1"/>
      <c r="C4" s="1"/>
    </row>
    <row r="5" spans="1:6" ht="15.75">
      <c r="A5" s="1"/>
      <c r="B5" s="1"/>
      <c r="C5" s="1"/>
    </row>
    <row r="6" spans="1:6" ht="15.75">
      <c r="A6" s="1"/>
      <c r="B6" s="1"/>
      <c r="C6" s="1"/>
    </row>
    <row r="7" spans="1:6" ht="15.75">
      <c r="A7" s="1" t="s">
        <v>0</v>
      </c>
    </row>
    <row r="8" spans="1:6" ht="15.75">
      <c r="A8" s="1" t="s">
        <v>129</v>
      </c>
      <c r="B8" s="1"/>
      <c r="C8" s="1"/>
    </row>
    <row r="9" spans="1:6" ht="15.75">
      <c r="A9" s="1" t="s">
        <v>92</v>
      </c>
      <c r="B9" s="1"/>
      <c r="C9" s="1"/>
      <c r="F9" s="4"/>
    </row>
    <row r="10" spans="1:6" ht="15.75">
      <c r="A10" s="1" t="s">
        <v>28</v>
      </c>
      <c r="B10" s="1"/>
      <c r="C10" s="1"/>
    </row>
    <row r="11" spans="1:6" ht="15.75">
      <c r="A11" s="1" t="s">
        <v>77</v>
      </c>
      <c r="B11" s="1"/>
      <c r="C11" s="1"/>
    </row>
    <row r="12" spans="1:6" ht="15.75">
      <c r="A12" s="1"/>
      <c r="B12" s="1"/>
      <c r="C12" s="1"/>
    </row>
    <row r="13" spans="1:6" ht="15.75">
      <c r="A13" s="1" t="s">
        <v>1</v>
      </c>
      <c r="B13" s="1" t="s">
        <v>2</v>
      </c>
      <c r="C13" s="1" t="s">
        <v>3</v>
      </c>
    </row>
    <row r="14" spans="1:6" ht="15.75">
      <c r="A14" s="1" t="s">
        <v>24</v>
      </c>
      <c r="B14" s="2"/>
      <c r="C14" s="6">
        <v>10762.92</v>
      </c>
    </row>
    <row r="15" spans="1:6" ht="15.75">
      <c r="A15" s="1" t="s">
        <v>4</v>
      </c>
      <c r="B15" s="7">
        <f>C15/12</f>
        <v>64782.71</v>
      </c>
      <c r="C15" s="1">
        <v>777392.52</v>
      </c>
    </row>
    <row r="16" spans="1:6" ht="15.75">
      <c r="A16" s="1" t="s">
        <v>31</v>
      </c>
      <c r="B16" s="7">
        <f t="shared" ref="B16:B34" si="0">C16/12</f>
        <v>8464.288333333332</v>
      </c>
      <c r="C16" s="1">
        <f>7005.56+94565.9</f>
        <v>101571.45999999999</v>
      </c>
    </row>
    <row r="17" spans="1:3" ht="15.75">
      <c r="A17" s="6" t="s">
        <v>17</v>
      </c>
      <c r="B17" s="7">
        <f t="shared" si="0"/>
        <v>73246.998333333337</v>
      </c>
      <c r="C17" s="6">
        <f>SUM(C15:C16)</f>
        <v>878963.98</v>
      </c>
    </row>
    <row r="18" spans="1:3" ht="15.75">
      <c r="A18" s="1" t="s">
        <v>18</v>
      </c>
      <c r="B18" s="7">
        <f t="shared" si="0"/>
        <v>0</v>
      </c>
      <c r="C18" s="1"/>
    </row>
    <row r="19" spans="1:3" ht="15.75">
      <c r="A19" s="1" t="s">
        <v>25</v>
      </c>
      <c r="B19" s="7">
        <f t="shared" si="0"/>
        <v>19085.083333333332</v>
      </c>
      <c r="C19" s="1">
        <f>187147.76+41873.24</f>
        <v>229021</v>
      </c>
    </row>
    <row r="20" spans="1:3" ht="15.75">
      <c r="A20" s="1" t="s">
        <v>32</v>
      </c>
      <c r="B20" s="7">
        <f t="shared" si="0"/>
        <v>14315.833333333334</v>
      </c>
      <c r="C20" s="1">
        <f>48452.88+123337.12</f>
        <v>171790</v>
      </c>
    </row>
    <row r="21" spans="1:3" ht="15.75">
      <c r="A21" s="1" t="s">
        <v>5</v>
      </c>
      <c r="B21" s="7">
        <f t="shared" si="0"/>
        <v>0</v>
      </c>
      <c r="C21" s="1"/>
    </row>
    <row r="22" spans="1:3" ht="15.75">
      <c r="A22" s="1" t="s">
        <v>6</v>
      </c>
      <c r="B22" s="7">
        <f t="shared" si="0"/>
        <v>3967.0833333333335</v>
      </c>
      <c r="C22" s="1">
        <v>47605</v>
      </c>
    </row>
    <row r="23" spans="1:3" ht="15.75">
      <c r="A23" s="1" t="s">
        <v>7</v>
      </c>
      <c r="B23" s="7">
        <f t="shared" si="0"/>
        <v>2794.6299999999997</v>
      </c>
      <c r="C23" s="1">
        <v>33535.56</v>
      </c>
    </row>
    <row r="24" spans="1:3" ht="15.75">
      <c r="A24" s="1" t="s">
        <v>8</v>
      </c>
      <c r="B24" s="7">
        <f t="shared" si="0"/>
        <v>304.78666666666669</v>
      </c>
      <c r="C24" s="1">
        <v>3657.44</v>
      </c>
    </row>
    <row r="25" spans="1:3" ht="15.75">
      <c r="A25" s="1" t="s">
        <v>9</v>
      </c>
      <c r="B25" s="7">
        <f t="shared" si="0"/>
        <v>0</v>
      </c>
      <c r="C25" s="1"/>
    </row>
    <row r="26" spans="1:3" ht="15.75">
      <c r="A26" s="1" t="s">
        <v>10</v>
      </c>
      <c r="B26" s="7">
        <f t="shared" si="0"/>
        <v>1317.075</v>
      </c>
      <c r="C26" s="1">
        <v>15804.9</v>
      </c>
    </row>
    <row r="27" spans="1:3" ht="15.75">
      <c r="A27" s="1" t="s">
        <v>11</v>
      </c>
      <c r="B27" s="7">
        <f t="shared" si="0"/>
        <v>3244.9966666666664</v>
      </c>
      <c r="C27" s="1">
        <v>38939.96</v>
      </c>
    </row>
    <row r="28" spans="1:3" ht="15.75">
      <c r="A28" s="1" t="s">
        <v>12</v>
      </c>
      <c r="B28" s="7">
        <f t="shared" si="0"/>
        <v>5453.0366666666669</v>
      </c>
      <c r="C28" s="1">
        <v>65436.44</v>
      </c>
    </row>
    <row r="29" spans="1:3" ht="15.75">
      <c r="A29" s="1" t="s">
        <v>13</v>
      </c>
      <c r="B29" s="7">
        <f t="shared" si="0"/>
        <v>1393.4766666666667</v>
      </c>
      <c r="C29" s="1">
        <v>16721.72</v>
      </c>
    </row>
    <row r="30" spans="1:3" ht="15.75">
      <c r="A30" s="1" t="s">
        <v>14</v>
      </c>
      <c r="B30" s="7">
        <f t="shared" si="0"/>
        <v>3810.02</v>
      </c>
      <c r="C30" s="1">
        <v>45720.24</v>
      </c>
    </row>
    <row r="31" spans="1:3" ht="15.75">
      <c r="A31" s="1" t="s">
        <v>29</v>
      </c>
      <c r="B31" s="7">
        <f t="shared" si="0"/>
        <v>432.14166666666665</v>
      </c>
      <c r="C31" s="1">
        <v>5185.7</v>
      </c>
    </row>
    <row r="32" spans="1:3" ht="15.75">
      <c r="A32" s="1" t="s">
        <v>19</v>
      </c>
      <c r="B32" s="7">
        <f t="shared" si="0"/>
        <v>0</v>
      </c>
      <c r="C32" s="1"/>
    </row>
    <row r="33" spans="1:3" ht="15.75">
      <c r="A33" s="1" t="s">
        <v>78</v>
      </c>
      <c r="B33" s="7">
        <f t="shared" si="0"/>
        <v>15247.929166666667</v>
      </c>
      <c r="C33" s="1">
        <v>182975.15</v>
      </c>
    </row>
    <row r="34" spans="1:3" ht="15.75">
      <c r="A34" s="6" t="s">
        <v>79</v>
      </c>
      <c r="B34" s="7">
        <f t="shared" si="0"/>
        <v>71366.092499999999</v>
      </c>
      <c r="C34" s="6">
        <f>SUM(C19:C33)</f>
        <v>856393.11</v>
      </c>
    </row>
    <row r="35" spans="1:3" ht="15.75">
      <c r="A35" s="6" t="s">
        <v>80</v>
      </c>
      <c r="B35" s="7"/>
      <c r="C35" s="6">
        <v>33333.79</v>
      </c>
    </row>
    <row r="36" spans="1:3" ht="15.75">
      <c r="A36" s="6" t="s">
        <v>81</v>
      </c>
      <c r="B36" s="1"/>
      <c r="C36" s="6"/>
    </row>
    <row r="37" spans="1:3" ht="15.75">
      <c r="A37" s="1" t="s">
        <v>33</v>
      </c>
      <c r="B37" s="6">
        <v>74983.95</v>
      </c>
      <c r="C37" s="1"/>
    </row>
    <row r="38" spans="1:3" ht="15.75">
      <c r="A38" s="1" t="s">
        <v>22</v>
      </c>
      <c r="B38" s="1"/>
      <c r="C38" s="1"/>
    </row>
    <row r="39" spans="1:3" ht="15.75">
      <c r="A39" s="1" t="s">
        <v>23</v>
      </c>
    </row>
    <row r="40" spans="1:3" ht="15.75">
      <c r="A40" s="1" t="s">
        <v>82</v>
      </c>
      <c r="B40" s="13">
        <v>0</v>
      </c>
    </row>
    <row r="42" spans="1:3" ht="15.75">
      <c r="A42" s="10" t="s">
        <v>73</v>
      </c>
    </row>
    <row r="44" spans="1:3">
      <c r="A44" t="s">
        <v>75</v>
      </c>
    </row>
    <row r="45" spans="1:3">
      <c r="A45" t="s">
        <v>74</v>
      </c>
    </row>
    <row r="47" spans="1:3">
      <c r="A47" t="s">
        <v>76</v>
      </c>
    </row>
  </sheetData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41"/>
  <sheetViews>
    <sheetView topLeftCell="A11" workbookViewId="0">
      <selection activeCell="E27" sqref="E27"/>
    </sheetView>
  </sheetViews>
  <sheetFormatPr defaultRowHeight="15"/>
  <cols>
    <col min="1" max="1" width="58.5703125" customWidth="1"/>
    <col min="2" max="2" width="13.28515625" customWidth="1"/>
    <col min="3" max="3" width="13.85546875" customWidth="1"/>
  </cols>
  <sheetData>
    <row r="1" spans="1:3" ht="15.75">
      <c r="A1" s="1" t="s">
        <v>0</v>
      </c>
    </row>
    <row r="2" spans="1:3" ht="15.75">
      <c r="A2" s="1" t="s">
        <v>130</v>
      </c>
      <c r="B2" s="1"/>
      <c r="C2" s="1"/>
    </row>
    <row r="3" spans="1:3" ht="15.75">
      <c r="A3" s="1" t="s">
        <v>92</v>
      </c>
      <c r="B3" s="1"/>
      <c r="C3" s="1"/>
    </row>
    <row r="4" spans="1:3" ht="15.75">
      <c r="A4" s="1" t="s">
        <v>28</v>
      </c>
      <c r="B4" s="1"/>
      <c r="C4" s="1"/>
    </row>
    <row r="5" spans="1:3" ht="15.75">
      <c r="A5" s="1" t="s">
        <v>77</v>
      </c>
      <c r="B5" s="1"/>
      <c r="C5" s="1"/>
    </row>
    <row r="6" spans="1:3" ht="15.75">
      <c r="A6" s="1"/>
      <c r="B6" s="1"/>
      <c r="C6" s="1"/>
    </row>
    <row r="7" spans="1:3" ht="15.75">
      <c r="A7" s="1" t="s">
        <v>1</v>
      </c>
      <c r="B7" s="1" t="s">
        <v>2</v>
      </c>
      <c r="C7" s="1" t="s">
        <v>3</v>
      </c>
    </row>
    <row r="8" spans="1:3" ht="15.75">
      <c r="A8" s="1" t="s">
        <v>138</v>
      </c>
      <c r="B8" s="2"/>
      <c r="C8" s="6">
        <v>-31688.32</v>
      </c>
    </row>
    <row r="9" spans="1:3" ht="15.75">
      <c r="A9" s="1" t="s">
        <v>4</v>
      </c>
      <c r="B9" s="7">
        <f>C9/12</f>
        <v>35555.969166666669</v>
      </c>
      <c r="C9" s="1">
        <v>426671.63</v>
      </c>
    </row>
    <row r="10" spans="1:3" ht="15.75">
      <c r="A10" s="1" t="s">
        <v>31</v>
      </c>
      <c r="B10" s="7">
        <f t="shared" ref="B10:B28" si="0">C10/12</f>
        <v>1056.0316666666668</v>
      </c>
      <c r="C10" s="1">
        <f>1516.88+11155.5</f>
        <v>12672.380000000001</v>
      </c>
    </row>
    <row r="11" spans="1:3" ht="15.75">
      <c r="A11" s="6" t="s">
        <v>17</v>
      </c>
      <c r="B11" s="7">
        <f t="shared" si="0"/>
        <v>36612.000833333332</v>
      </c>
      <c r="C11" s="6">
        <f>SUM(C9:C10)</f>
        <v>439344.01</v>
      </c>
    </row>
    <row r="12" spans="1:3" ht="15.75">
      <c r="A12" s="1" t="s">
        <v>18</v>
      </c>
      <c r="B12" s="7">
        <f t="shared" si="0"/>
        <v>0</v>
      </c>
      <c r="C12" s="1"/>
    </row>
    <row r="13" spans="1:3" ht="15.75">
      <c r="A13" s="1" t="s">
        <v>25</v>
      </c>
      <c r="B13" s="7">
        <f t="shared" si="0"/>
        <v>9258.5966666666664</v>
      </c>
      <c r="C13" s="1">
        <f>90789.52+20313.64</f>
        <v>111103.16</v>
      </c>
    </row>
    <row r="14" spans="1:3" ht="15.75">
      <c r="A14" s="1" t="s">
        <v>32</v>
      </c>
      <c r="B14" s="7">
        <f t="shared" si="0"/>
        <v>9392.0733333333337</v>
      </c>
      <c r="C14" s="1">
        <f>28677.5+84027.38</f>
        <v>112704.88</v>
      </c>
    </row>
    <row r="15" spans="1:3" ht="15.75">
      <c r="A15" s="1" t="s">
        <v>5</v>
      </c>
      <c r="B15" s="7">
        <f t="shared" si="0"/>
        <v>0</v>
      </c>
      <c r="C15" s="1"/>
    </row>
    <row r="16" spans="1:3" ht="15.75">
      <c r="A16" s="1" t="s">
        <v>6</v>
      </c>
      <c r="B16" s="7">
        <f t="shared" si="0"/>
        <v>734.5</v>
      </c>
      <c r="C16" s="1">
        <v>8814</v>
      </c>
    </row>
    <row r="17" spans="1:3" ht="15.75">
      <c r="A17" s="1" t="s">
        <v>7</v>
      </c>
      <c r="B17" s="7">
        <f t="shared" si="0"/>
        <v>1337.605</v>
      </c>
      <c r="C17" s="1">
        <v>16051.26</v>
      </c>
    </row>
    <row r="18" spans="1:3" ht="15.75">
      <c r="A18" s="1" t="s">
        <v>8</v>
      </c>
      <c r="B18" s="7">
        <f t="shared" si="0"/>
        <v>0</v>
      </c>
      <c r="C18" s="1"/>
    </row>
    <row r="19" spans="1:3" ht="15.75">
      <c r="A19" s="1" t="s">
        <v>9</v>
      </c>
      <c r="B19" s="7">
        <f t="shared" si="0"/>
        <v>0</v>
      </c>
      <c r="C19" s="1"/>
    </row>
    <row r="20" spans="1:3" ht="15.75">
      <c r="A20" s="1" t="s">
        <v>10</v>
      </c>
      <c r="B20" s="7">
        <f t="shared" si="0"/>
        <v>720.12750000000005</v>
      </c>
      <c r="C20" s="1">
        <v>8641.5300000000007</v>
      </c>
    </row>
    <row r="21" spans="1:3" ht="15.75">
      <c r="A21" s="1" t="s">
        <v>11</v>
      </c>
      <c r="B21" s="7">
        <f t="shared" si="0"/>
        <v>1775.4333333333334</v>
      </c>
      <c r="C21" s="1">
        <v>21305.200000000001</v>
      </c>
    </row>
    <row r="22" spans="1:3" ht="15.75">
      <c r="A22" s="1" t="s">
        <v>12</v>
      </c>
      <c r="B22" s="7">
        <f t="shared" si="0"/>
        <v>2645.3883333333333</v>
      </c>
      <c r="C22" s="1">
        <v>31744.66</v>
      </c>
    </row>
    <row r="23" spans="1:3" ht="15.75">
      <c r="A23" s="1" t="s">
        <v>13</v>
      </c>
      <c r="B23" s="7">
        <f t="shared" si="0"/>
        <v>406.20416666666665</v>
      </c>
      <c r="C23" s="1">
        <v>4874.45</v>
      </c>
    </row>
    <row r="24" spans="1:3" ht="15.75">
      <c r="A24" s="1" t="s">
        <v>14</v>
      </c>
      <c r="B24" s="7">
        <f t="shared" si="0"/>
        <v>1904.4116666666666</v>
      </c>
      <c r="C24" s="1">
        <v>22852.94</v>
      </c>
    </row>
    <row r="25" spans="1:3" ht="15.75">
      <c r="A25" s="1" t="s">
        <v>29</v>
      </c>
      <c r="B25" s="7">
        <f t="shared" si="0"/>
        <v>224.28166666666667</v>
      </c>
      <c r="C25" s="1">
        <v>2691.38</v>
      </c>
    </row>
    <row r="26" spans="1:3" ht="15.75">
      <c r="A26" s="1" t="s">
        <v>19</v>
      </c>
      <c r="B26" s="7">
        <f t="shared" si="0"/>
        <v>59.44083333333333</v>
      </c>
      <c r="C26" s="1">
        <v>713.29</v>
      </c>
    </row>
    <row r="27" spans="1:3" ht="15.75">
      <c r="A27" s="1" t="s">
        <v>78</v>
      </c>
      <c r="B27" s="7">
        <f t="shared" si="0"/>
        <v>8448.6016666666674</v>
      </c>
      <c r="C27" s="1">
        <v>101383.22</v>
      </c>
    </row>
    <row r="28" spans="1:3" ht="15.75">
      <c r="A28" s="6" t="s">
        <v>79</v>
      </c>
      <c r="B28" s="7">
        <f t="shared" si="0"/>
        <v>36906.664166666662</v>
      </c>
      <c r="C28" s="6">
        <f>SUM(C13:C27)</f>
        <v>442879.97</v>
      </c>
    </row>
    <row r="29" spans="1:3" ht="15.75">
      <c r="A29" s="6" t="s">
        <v>80</v>
      </c>
      <c r="B29" s="7"/>
      <c r="C29" s="6"/>
    </row>
    <row r="30" spans="1:3" ht="15.75">
      <c r="A30" s="6" t="s">
        <v>81</v>
      </c>
      <c r="B30" s="1"/>
      <c r="C30" s="6">
        <v>35224.28</v>
      </c>
    </row>
    <row r="31" spans="1:3" ht="15.75">
      <c r="A31" s="1" t="s">
        <v>33</v>
      </c>
      <c r="B31" s="6">
        <v>56061.64</v>
      </c>
      <c r="C31" s="1"/>
    </row>
    <row r="32" spans="1:3" ht="15.75">
      <c r="A32" s="1" t="s">
        <v>22</v>
      </c>
      <c r="B32" s="1"/>
      <c r="C32" s="1"/>
    </row>
    <row r="33" spans="1:2" ht="15.75">
      <c r="A33" s="1" t="s">
        <v>23</v>
      </c>
    </row>
    <row r="34" spans="1:2" ht="15.75">
      <c r="A34" s="1" t="s">
        <v>82</v>
      </c>
      <c r="B34" s="4">
        <v>180.31</v>
      </c>
    </row>
    <row r="36" spans="1:2" ht="15.75">
      <c r="A36" s="10" t="s">
        <v>73</v>
      </c>
    </row>
    <row r="38" spans="1:2">
      <c r="A38" t="s">
        <v>75</v>
      </c>
    </row>
    <row r="39" spans="1:2">
      <c r="A39" t="s">
        <v>74</v>
      </c>
    </row>
    <row r="41" spans="1:2">
      <c r="A41" t="s">
        <v>76</v>
      </c>
    </row>
  </sheetData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41"/>
  <sheetViews>
    <sheetView topLeftCell="A7" workbookViewId="0">
      <selection activeCell="F26" sqref="F26"/>
    </sheetView>
  </sheetViews>
  <sheetFormatPr defaultRowHeight="15"/>
  <cols>
    <col min="1" max="1" width="58.28515625" customWidth="1"/>
    <col min="2" max="3" width="14" customWidth="1"/>
  </cols>
  <sheetData>
    <row r="1" spans="1:3" ht="15.75">
      <c r="A1" s="1" t="s">
        <v>0</v>
      </c>
    </row>
    <row r="2" spans="1:3" ht="15.75">
      <c r="A2" s="1" t="s">
        <v>131</v>
      </c>
      <c r="B2" s="1"/>
      <c r="C2" s="1"/>
    </row>
    <row r="3" spans="1:3" ht="15.75">
      <c r="A3" s="1" t="s">
        <v>92</v>
      </c>
      <c r="B3" s="1"/>
      <c r="C3" s="1"/>
    </row>
    <row r="4" spans="1:3" ht="15.75">
      <c r="A4" s="1" t="s">
        <v>28</v>
      </c>
      <c r="B4" s="1"/>
      <c r="C4" s="1"/>
    </row>
    <row r="5" spans="1:3" ht="15.75">
      <c r="A5" s="1" t="s">
        <v>77</v>
      </c>
      <c r="B5" s="1"/>
      <c r="C5" s="1"/>
    </row>
    <row r="6" spans="1:3" ht="15.75">
      <c r="A6" s="1"/>
      <c r="B6" s="1"/>
      <c r="C6" s="1"/>
    </row>
    <row r="7" spans="1:3" ht="15.75">
      <c r="A7" s="1" t="s">
        <v>1</v>
      </c>
      <c r="B7" s="1" t="s">
        <v>2</v>
      </c>
      <c r="C7" s="1" t="s">
        <v>3</v>
      </c>
    </row>
    <row r="8" spans="1:3" ht="15.75">
      <c r="A8" s="1" t="s">
        <v>138</v>
      </c>
      <c r="B8" s="2"/>
      <c r="C8" s="6">
        <v>-9703.52</v>
      </c>
    </row>
    <row r="9" spans="1:3" ht="15.75">
      <c r="A9" s="1" t="s">
        <v>4</v>
      </c>
      <c r="B9" s="7">
        <f>C9/12</f>
        <v>36724.807500000003</v>
      </c>
      <c r="C9" s="1">
        <v>440697.69</v>
      </c>
    </row>
    <row r="10" spans="1:3" ht="15.75">
      <c r="A10" s="1" t="s">
        <v>31</v>
      </c>
      <c r="B10" s="7">
        <f t="shared" ref="B10:B28" si="0">C10/12</f>
        <v>900.83333333333337</v>
      </c>
      <c r="C10" s="1">
        <f>10810</f>
        <v>10810</v>
      </c>
    </row>
    <row r="11" spans="1:3" ht="15.75">
      <c r="A11" s="6" t="s">
        <v>17</v>
      </c>
      <c r="B11" s="7">
        <f t="shared" si="0"/>
        <v>37625.640833333331</v>
      </c>
      <c r="C11" s="6">
        <f>SUM(C9:C10)</f>
        <v>451507.69</v>
      </c>
    </row>
    <row r="12" spans="1:3" ht="15.75">
      <c r="A12" s="1" t="s">
        <v>18</v>
      </c>
      <c r="B12" s="7">
        <f t="shared" si="0"/>
        <v>0</v>
      </c>
      <c r="C12" s="1"/>
    </row>
    <row r="13" spans="1:3" ht="15.75">
      <c r="A13" s="1" t="s">
        <v>25</v>
      </c>
      <c r="B13" s="7">
        <f t="shared" si="0"/>
        <v>9258.06</v>
      </c>
      <c r="C13" s="1">
        <f>90784.26+20312.46</f>
        <v>111096.72</v>
      </c>
    </row>
    <row r="14" spans="1:3" ht="15.75">
      <c r="A14" s="1" t="s">
        <v>32</v>
      </c>
      <c r="B14" s="7">
        <f t="shared" si="0"/>
        <v>9825.1591666666664</v>
      </c>
      <c r="C14" s="1">
        <f>24396.05+93505.86</f>
        <v>117901.91</v>
      </c>
    </row>
    <row r="15" spans="1:3" ht="15.75">
      <c r="A15" s="1" t="s">
        <v>5</v>
      </c>
      <c r="B15" s="7">
        <f t="shared" si="0"/>
        <v>0</v>
      </c>
      <c r="C15" s="1"/>
    </row>
    <row r="16" spans="1:3" ht="15.75">
      <c r="A16" s="1" t="s">
        <v>6</v>
      </c>
      <c r="B16" s="7">
        <f t="shared" si="0"/>
        <v>3099.4166666666665</v>
      </c>
      <c r="C16" s="1">
        <v>37193</v>
      </c>
    </row>
    <row r="17" spans="1:3" ht="15.75">
      <c r="A17" s="1" t="s">
        <v>7</v>
      </c>
      <c r="B17" s="7">
        <f t="shared" si="0"/>
        <v>1357.835</v>
      </c>
      <c r="C17" s="1">
        <v>16294.02</v>
      </c>
    </row>
    <row r="18" spans="1:3" ht="15.75">
      <c r="A18" s="1" t="s">
        <v>8</v>
      </c>
      <c r="B18" s="7">
        <f t="shared" si="0"/>
        <v>128.16</v>
      </c>
      <c r="C18" s="1">
        <v>1537.92</v>
      </c>
    </row>
    <row r="19" spans="1:3" ht="15.75">
      <c r="A19" s="1" t="s">
        <v>9</v>
      </c>
      <c r="B19" s="7">
        <f t="shared" si="0"/>
        <v>0</v>
      </c>
      <c r="C19" s="1"/>
    </row>
    <row r="20" spans="1:3" ht="15.75">
      <c r="A20" s="1" t="s">
        <v>10</v>
      </c>
      <c r="B20" s="7">
        <f t="shared" si="0"/>
        <v>758.02833333333331</v>
      </c>
      <c r="C20" s="1">
        <v>9096.34</v>
      </c>
    </row>
    <row r="21" spans="1:3" ht="15.75">
      <c r="A21" s="1" t="s">
        <v>11</v>
      </c>
      <c r="B21" s="7">
        <f t="shared" si="0"/>
        <v>1828.8258333333333</v>
      </c>
      <c r="C21" s="1">
        <v>21945.91</v>
      </c>
    </row>
    <row r="22" spans="1:3" ht="15.75">
      <c r="A22" s="1" t="s">
        <v>12</v>
      </c>
      <c r="B22" s="7">
        <f t="shared" si="0"/>
        <v>2645.2358333333336</v>
      </c>
      <c r="C22" s="1">
        <v>31742.83</v>
      </c>
    </row>
    <row r="23" spans="1:3" ht="15.75">
      <c r="A23" s="1" t="s">
        <v>13</v>
      </c>
      <c r="B23" s="7">
        <f t="shared" si="0"/>
        <v>485.53</v>
      </c>
      <c r="C23" s="1">
        <v>5826.36</v>
      </c>
    </row>
    <row r="24" spans="1:3" ht="15.75">
      <c r="A24" s="1" t="s">
        <v>14</v>
      </c>
      <c r="B24" s="7">
        <f t="shared" si="0"/>
        <v>1957.1375</v>
      </c>
      <c r="C24" s="1">
        <v>23485.65</v>
      </c>
    </row>
    <row r="25" spans="1:3" ht="15.75">
      <c r="A25" s="1" t="s">
        <v>29</v>
      </c>
      <c r="B25" s="7">
        <f t="shared" si="0"/>
        <v>225.05166666666665</v>
      </c>
      <c r="C25" s="1">
        <v>2700.62</v>
      </c>
    </row>
    <row r="26" spans="1:3" ht="15.75">
      <c r="A26" s="1" t="s">
        <v>19</v>
      </c>
      <c r="B26" s="7">
        <f t="shared" si="0"/>
        <v>59.44083333333333</v>
      </c>
      <c r="C26" s="1">
        <v>713.29</v>
      </c>
    </row>
    <row r="27" spans="1:3" ht="15.75">
      <c r="A27" s="1" t="s">
        <v>78</v>
      </c>
      <c r="B27" s="7">
        <f t="shared" si="0"/>
        <v>8731.4516666666659</v>
      </c>
      <c r="C27" s="1">
        <v>104777.42</v>
      </c>
    </row>
    <row r="28" spans="1:3" ht="15.75">
      <c r="A28" s="6" t="s">
        <v>79</v>
      </c>
      <c r="B28" s="7">
        <f t="shared" si="0"/>
        <v>40359.332499999997</v>
      </c>
      <c r="C28" s="6">
        <f>SUM(C13:C27)</f>
        <v>484311.99</v>
      </c>
    </row>
    <row r="29" spans="1:3" ht="15.75">
      <c r="A29" s="6" t="s">
        <v>80</v>
      </c>
      <c r="B29" s="7"/>
      <c r="C29" s="6"/>
    </row>
    <row r="30" spans="1:3" ht="15.75">
      <c r="A30" s="6" t="s">
        <v>81</v>
      </c>
      <c r="B30" s="1"/>
      <c r="C30" s="6">
        <v>42507.82</v>
      </c>
    </row>
    <row r="31" spans="1:3" ht="15.75">
      <c r="A31" s="1" t="s">
        <v>33</v>
      </c>
      <c r="B31" s="6">
        <v>101152.23</v>
      </c>
      <c r="C31" s="1"/>
    </row>
    <row r="32" spans="1:3" ht="15.75">
      <c r="A32" s="1" t="s">
        <v>22</v>
      </c>
      <c r="B32" s="1"/>
      <c r="C32" s="1"/>
    </row>
    <row r="33" spans="1:2" ht="15.75">
      <c r="A33" s="1" t="s">
        <v>23</v>
      </c>
    </row>
    <row r="34" spans="1:2" ht="15.75">
      <c r="A34" s="1" t="s">
        <v>82</v>
      </c>
      <c r="B34" s="13">
        <v>46246.15</v>
      </c>
    </row>
    <row r="36" spans="1:2" ht="15.75">
      <c r="A36" s="10" t="s">
        <v>73</v>
      </c>
    </row>
    <row r="38" spans="1:2">
      <c r="A38" t="s">
        <v>75</v>
      </c>
    </row>
    <row r="39" spans="1:2">
      <c r="A39" t="s">
        <v>74</v>
      </c>
    </row>
    <row r="41" spans="1:2">
      <c r="A41" t="s">
        <v>76</v>
      </c>
    </row>
  </sheetData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41"/>
  <sheetViews>
    <sheetView workbookViewId="0">
      <selection activeCell="E26" sqref="E26"/>
    </sheetView>
  </sheetViews>
  <sheetFormatPr defaultRowHeight="15"/>
  <cols>
    <col min="1" max="1" width="58.28515625" customWidth="1"/>
    <col min="2" max="2" width="13.28515625" customWidth="1"/>
    <col min="3" max="3" width="14" customWidth="1"/>
  </cols>
  <sheetData>
    <row r="1" spans="1:3" ht="15.75">
      <c r="A1" s="1" t="s">
        <v>0</v>
      </c>
    </row>
    <row r="2" spans="1:3" ht="15.75">
      <c r="A2" s="1" t="s">
        <v>132</v>
      </c>
      <c r="B2" s="1"/>
      <c r="C2" s="1"/>
    </row>
    <row r="3" spans="1:3" ht="15.75">
      <c r="A3" s="1" t="s">
        <v>92</v>
      </c>
      <c r="B3" s="1"/>
      <c r="C3" s="1"/>
    </row>
    <row r="4" spans="1:3" ht="15.75">
      <c r="A4" s="1" t="s">
        <v>28</v>
      </c>
      <c r="B4" s="1"/>
      <c r="C4" s="1"/>
    </row>
    <row r="5" spans="1:3" ht="15.75">
      <c r="A5" s="1" t="s">
        <v>77</v>
      </c>
      <c r="B5" s="1"/>
      <c r="C5" s="1"/>
    </row>
    <row r="6" spans="1:3" ht="15.75">
      <c r="A6" s="1"/>
      <c r="B6" s="1"/>
      <c r="C6" s="1"/>
    </row>
    <row r="7" spans="1:3" ht="15.75">
      <c r="A7" s="1" t="s">
        <v>1</v>
      </c>
      <c r="B7" s="1" t="s">
        <v>2</v>
      </c>
      <c r="C7" s="1" t="s">
        <v>3</v>
      </c>
    </row>
    <row r="8" spans="1:3" ht="15.75">
      <c r="A8" s="1" t="s">
        <v>138</v>
      </c>
      <c r="B8" s="2"/>
      <c r="C8" s="6">
        <v>-11339.04</v>
      </c>
    </row>
    <row r="9" spans="1:3" ht="15.75">
      <c r="A9" s="1" t="s">
        <v>4</v>
      </c>
      <c r="B9" s="7">
        <f>C9/12</f>
        <v>36065.072500000002</v>
      </c>
      <c r="C9" s="1">
        <v>432780.87</v>
      </c>
    </row>
    <row r="10" spans="1:3" ht="15.75">
      <c r="A10" s="1" t="s">
        <v>31</v>
      </c>
      <c r="B10" s="7">
        <f t="shared" ref="B10:B28" si="0">C10/12</f>
        <v>1303.7008333333335</v>
      </c>
      <c r="C10" s="1">
        <f>497.04+15147.37</f>
        <v>15644.410000000002</v>
      </c>
    </row>
    <row r="11" spans="1:3" ht="15.75">
      <c r="A11" s="6" t="s">
        <v>17</v>
      </c>
      <c r="B11" s="7">
        <f t="shared" si="0"/>
        <v>37368.773333333331</v>
      </c>
      <c r="C11" s="6">
        <f>SUM(C9:C10)</f>
        <v>448425.27999999997</v>
      </c>
    </row>
    <row r="12" spans="1:3" ht="15.75">
      <c r="A12" s="1" t="s">
        <v>18</v>
      </c>
      <c r="B12" s="7">
        <f t="shared" si="0"/>
        <v>0</v>
      </c>
      <c r="C12" s="1"/>
    </row>
    <row r="13" spans="1:3" ht="15.75">
      <c r="A13" s="1" t="s">
        <v>25</v>
      </c>
      <c r="B13" s="7">
        <f t="shared" si="0"/>
        <v>9266.6366666666672</v>
      </c>
      <c r="C13" s="1">
        <f>90868.36+20331.28</f>
        <v>111199.64</v>
      </c>
    </row>
    <row r="14" spans="1:3" ht="15.75">
      <c r="A14" s="1" t="s">
        <v>32</v>
      </c>
      <c r="B14" s="7">
        <f t="shared" si="0"/>
        <v>11608.118333333332</v>
      </c>
      <c r="C14" s="1">
        <f>28659.17+110638.25</f>
        <v>139297.41999999998</v>
      </c>
    </row>
    <row r="15" spans="1:3" ht="15.75">
      <c r="A15" s="1" t="s">
        <v>5</v>
      </c>
      <c r="B15" s="7">
        <f t="shared" si="0"/>
        <v>0</v>
      </c>
      <c r="C15" s="1"/>
    </row>
    <row r="16" spans="1:3" ht="15.75">
      <c r="A16" s="1" t="s">
        <v>6</v>
      </c>
      <c r="B16" s="7">
        <f t="shared" si="0"/>
        <v>2353.3333333333335</v>
      </c>
      <c r="C16" s="1">
        <v>28240</v>
      </c>
    </row>
    <row r="17" spans="1:3" ht="15.75">
      <c r="A17" s="1" t="s">
        <v>7</v>
      </c>
      <c r="B17" s="7">
        <f t="shared" si="0"/>
        <v>1340.5350000000001</v>
      </c>
      <c r="C17" s="1">
        <v>16086.42</v>
      </c>
    </row>
    <row r="18" spans="1:3" ht="15.75">
      <c r="A18" s="1" t="s">
        <v>8</v>
      </c>
      <c r="B18" s="7">
        <f t="shared" si="0"/>
        <v>0</v>
      </c>
      <c r="C18" s="1"/>
    </row>
    <row r="19" spans="1:3" ht="15.75">
      <c r="A19" s="1" t="s">
        <v>9</v>
      </c>
      <c r="B19" s="7">
        <f t="shared" si="0"/>
        <v>0</v>
      </c>
      <c r="C19" s="1"/>
    </row>
    <row r="20" spans="1:3" ht="15.75">
      <c r="A20" s="1" t="s">
        <v>10</v>
      </c>
      <c r="B20" s="7">
        <f t="shared" si="0"/>
        <v>710.65166666666664</v>
      </c>
      <c r="C20" s="1">
        <v>8527.82</v>
      </c>
    </row>
    <row r="21" spans="1:3" ht="15.75">
      <c r="A21" s="1" t="s">
        <v>11</v>
      </c>
      <c r="B21" s="7">
        <f t="shared" si="0"/>
        <v>1794.2866666666666</v>
      </c>
      <c r="C21" s="1">
        <v>21531.439999999999</v>
      </c>
    </row>
    <row r="22" spans="1:3" ht="15.75">
      <c r="A22" s="1" t="s">
        <v>12</v>
      </c>
      <c r="B22" s="7">
        <f t="shared" si="0"/>
        <v>2647.6858333333334</v>
      </c>
      <c r="C22" s="1">
        <v>31772.23</v>
      </c>
    </row>
    <row r="23" spans="1:3" ht="15.75">
      <c r="A23" s="1" t="s">
        <v>13</v>
      </c>
      <c r="B23" s="7">
        <f t="shared" si="0"/>
        <v>659.1966666666666</v>
      </c>
      <c r="C23" s="1">
        <v>7910.36</v>
      </c>
    </row>
    <row r="24" spans="1:3" ht="15.75">
      <c r="A24" s="1" t="s">
        <v>14</v>
      </c>
      <c r="B24" s="7">
        <f t="shared" si="0"/>
        <v>1943.7758333333334</v>
      </c>
      <c r="C24" s="1">
        <v>23325.31</v>
      </c>
    </row>
    <row r="25" spans="1:3" ht="15.75">
      <c r="A25" s="1" t="s">
        <v>29</v>
      </c>
      <c r="B25" s="7">
        <f t="shared" si="0"/>
        <v>226.37916666666669</v>
      </c>
      <c r="C25" s="1">
        <v>2716.55</v>
      </c>
    </row>
    <row r="26" spans="1:3" ht="15.75">
      <c r="A26" s="1" t="s">
        <v>19</v>
      </c>
      <c r="B26" s="7">
        <f t="shared" si="0"/>
        <v>59.44083333333333</v>
      </c>
      <c r="C26" s="1">
        <v>713.29</v>
      </c>
    </row>
    <row r="27" spans="1:3" ht="15.75">
      <c r="A27" s="1" t="s">
        <v>78</v>
      </c>
      <c r="B27" s="7">
        <f t="shared" si="0"/>
        <v>8466.0916666666672</v>
      </c>
      <c r="C27" s="1">
        <v>101593.1</v>
      </c>
    </row>
    <row r="28" spans="1:3" ht="15.75">
      <c r="A28" s="6" t="s">
        <v>79</v>
      </c>
      <c r="B28" s="7">
        <f t="shared" si="0"/>
        <v>41076.131666666661</v>
      </c>
      <c r="C28" s="6">
        <f>SUM(C13:C27)</f>
        <v>492913.57999999996</v>
      </c>
    </row>
    <row r="29" spans="1:3" ht="15.75">
      <c r="A29" s="6" t="s">
        <v>80</v>
      </c>
      <c r="B29" s="7"/>
      <c r="C29" s="6"/>
    </row>
    <row r="30" spans="1:3" ht="15.75">
      <c r="A30" s="6" t="s">
        <v>81</v>
      </c>
      <c r="B30" s="1"/>
      <c r="C30" s="6">
        <v>55827.34</v>
      </c>
    </row>
    <row r="31" spans="1:3" ht="15.75">
      <c r="A31" s="1" t="s">
        <v>33</v>
      </c>
      <c r="B31" s="6">
        <v>39979.67</v>
      </c>
      <c r="C31" s="1"/>
    </row>
    <row r="32" spans="1:3" ht="15.75">
      <c r="A32" s="1" t="s">
        <v>22</v>
      </c>
      <c r="B32" s="1"/>
      <c r="C32" s="1"/>
    </row>
    <row r="33" spans="1:2" ht="15.75">
      <c r="A33" s="1" t="s">
        <v>23</v>
      </c>
    </row>
    <row r="34" spans="1:2" ht="15.75">
      <c r="A34" s="1" t="s">
        <v>82</v>
      </c>
      <c r="B34">
        <v>0</v>
      </c>
    </row>
    <row r="36" spans="1:2" ht="15.75">
      <c r="A36" s="10" t="s">
        <v>73</v>
      </c>
    </row>
    <row r="38" spans="1:2">
      <c r="A38" t="s">
        <v>75</v>
      </c>
    </row>
    <row r="39" spans="1:2">
      <c r="A39" t="s">
        <v>74</v>
      </c>
    </row>
    <row r="41" spans="1:2">
      <c r="A41" t="s">
        <v>76</v>
      </c>
    </row>
  </sheetData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41"/>
  <sheetViews>
    <sheetView topLeftCell="A9" workbookViewId="0">
      <selection activeCell="B9" sqref="B9:B28"/>
    </sheetView>
  </sheetViews>
  <sheetFormatPr defaultRowHeight="15"/>
  <cols>
    <col min="1" max="1" width="58.28515625" customWidth="1"/>
    <col min="2" max="2" width="14.85546875" customWidth="1"/>
    <col min="3" max="3" width="14.28515625" customWidth="1"/>
  </cols>
  <sheetData>
    <row r="1" spans="1:3" ht="15.75">
      <c r="A1" s="1" t="s">
        <v>0</v>
      </c>
    </row>
    <row r="2" spans="1:3" ht="15.75">
      <c r="A2" s="1" t="s">
        <v>133</v>
      </c>
      <c r="B2" s="1"/>
      <c r="C2" s="1"/>
    </row>
    <row r="3" spans="1:3" ht="15.75">
      <c r="A3" s="1" t="s">
        <v>92</v>
      </c>
      <c r="B3" s="1"/>
      <c r="C3" s="1"/>
    </row>
    <row r="4" spans="1:3" ht="15.75">
      <c r="A4" s="1" t="s">
        <v>28</v>
      </c>
      <c r="B4" s="1"/>
      <c r="C4" s="1"/>
    </row>
    <row r="5" spans="1:3" ht="15.75">
      <c r="A5" s="1" t="s">
        <v>77</v>
      </c>
      <c r="B5" s="1"/>
      <c r="C5" s="1"/>
    </row>
    <row r="6" spans="1:3" ht="15.75">
      <c r="A6" s="1"/>
      <c r="B6" s="1"/>
      <c r="C6" s="1"/>
    </row>
    <row r="7" spans="1:3" ht="15.75">
      <c r="A7" s="1" t="s">
        <v>1</v>
      </c>
      <c r="B7" s="1" t="s">
        <v>2</v>
      </c>
      <c r="C7" s="1" t="s">
        <v>3</v>
      </c>
    </row>
    <row r="8" spans="1:3" ht="15.75">
      <c r="A8" s="1" t="s">
        <v>138</v>
      </c>
      <c r="B8" s="2"/>
      <c r="C8" s="6">
        <v>-46551.89</v>
      </c>
    </row>
    <row r="9" spans="1:3" ht="18.75">
      <c r="A9" s="1" t="s">
        <v>4</v>
      </c>
      <c r="B9" s="14" t="s">
        <v>141</v>
      </c>
      <c r="C9" s="1">
        <v>1365377.4</v>
      </c>
    </row>
    <row r="10" spans="1:3" ht="18.75">
      <c r="A10" s="1" t="s">
        <v>31</v>
      </c>
      <c r="B10" s="14">
        <f t="shared" ref="B10:B28" si="0">C10/12</f>
        <v>2086.6666666666665</v>
      </c>
      <c r="C10" s="1">
        <v>25040</v>
      </c>
    </row>
    <row r="11" spans="1:3" ht="18.75">
      <c r="A11" s="6" t="s">
        <v>17</v>
      </c>
      <c r="B11" s="14">
        <f t="shared" si="0"/>
        <v>115868.11666666665</v>
      </c>
      <c r="C11" s="6">
        <f>SUM(C9:C10)</f>
        <v>1390417.4</v>
      </c>
    </row>
    <row r="12" spans="1:3" ht="18.75">
      <c r="A12" s="1" t="s">
        <v>18</v>
      </c>
      <c r="B12" s="14">
        <f t="shared" si="0"/>
        <v>0</v>
      </c>
      <c r="C12" s="1"/>
    </row>
    <row r="13" spans="1:3" ht="18.75">
      <c r="A13" s="1" t="s">
        <v>25</v>
      </c>
      <c r="B13" s="14">
        <f t="shared" si="0"/>
        <v>22939.994999999999</v>
      </c>
      <c r="C13" s="1">
        <f>224948.9+50331.04</f>
        <v>275279.94</v>
      </c>
    </row>
    <row r="14" spans="1:3" ht="18.75">
      <c r="A14" s="1" t="s">
        <v>32</v>
      </c>
      <c r="B14" s="14">
        <f t="shared" si="0"/>
        <v>10898.246666666666</v>
      </c>
      <c r="C14" s="1">
        <f>78633.94+52145.02</f>
        <v>130778.95999999999</v>
      </c>
    </row>
    <row r="15" spans="1:3" ht="18.75">
      <c r="A15" s="1" t="s">
        <v>5</v>
      </c>
      <c r="B15" s="14">
        <f t="shared" si="0"/>
        <v>10097.280000000001</v>
      </c>
      <c r="C15" s="1">
        <v>121167.36</v>
      </c>
    </row>
    <row r="16" spans="1:3" ht="18.75">
      <c r="A16" s="1" t="s">
        <v>6</v>
      </c>
      <c r="B16" s="14">
        <f t="shared" si="0"/>
        <v>8421.5</v>
      </c>
      <c r="C16" s="1">
        <v>101058</v>
      </c>
    </row>
    <row r="17" spans="1:3" ht="18.75">
      <c r="A17" s="1" t="s">
        <v>7</v>
      </c>
      <c r="B17" s="14">
        <f t="shared" si="0"/>
        <v>3271.9050000000002</v>
      </c>
      <c r="C17" s="1">
        <v>39262.86</v>
      </c>
    </row>
    <row r="18" spans="1:3" ht="18.75">
      <c r="A18" s="1" t="s">
        <v>8</v>
      </c>
      <c r="B18" s="14">
        <f t="shared" si="0"/>
        <v>204.88</v>
      </c>
      <c r="C18" s="1">
        <v>2458.56</v>
      </c>
    </row>
    <row r="19" spans="1:3" ht="18.75">
      <c r="A19" s="1" t="s">
        <v>9</v>
      </c>
      <c r="B19" s="14">
        <f t="shared" si="0"/>
        <v>14723.87</v>
      </c>
      <c r="C19" s="1">
        <v>176686.44</v>
      </c>
    </row>
    <row r="20" spans="1:3" ht="18.75">
      <c r="A20" s="1" t="s">
        <v>10</v>
      </c>
      <c r="B20" s="14">
        <f t="shared" si="0"/>
        <v>1364.4516666666666</v>
      </c>
      <c r="C20" s="1">
        <v>16373.42</v>
      </c>
    </row>
    <row r="21" spans="1:3" ht="18.75">
      <c r="A21" s="1" t="s">
        <v>11</v>
      </c>
      <c r="B21" s="14">
        <f t="shared" si="0"/>
        <v>5662.6408333333338</v>
      </c>
      <c r="C21" s="1">
        <v>67951.69</v>
      </c>
    </row>
    <row r="22" spans="1:3" ht="18.75">
      <c r="A22" s="1" t="s">
        <v>12</v>
      </c>
      <c r="B22" s="14">
        <f t="shared" si="0"/>
        <v>6554.4716666666673</v>
      </c>
      <c r="C22" s="1">
        <v>78653.66</v>
      </c>
    </row>
    <row r="23" spans="1:3" ht="18.75">
      <c r="A23" s="1" t="s">
        <v>13</v>
      </c>
      <c r="B23" s="14">
        <f t="shared" si="0"/>
        <v>102.00083333333333</v>
      </c>
      <c r="C23" s="1">
        <v>1224.01</v>
      </c>
    </row>
    <row r="24" spans="1:3" ht="18.75">
      <c r="A24" s="1" t="s">
        <v>14</v>
      </c>
      <c r="B24" s="14">
        <f t="shared" si="0"/>
        <v>6027.001666666667</v>
      </c>
      <c r="C24" s="1">
        <v>72324.02</v>
      </c>
    </row>
    <row r="25" spans="1:3" ht="18.75">
      <c r="A25" s="1" t="s">
        <v>29</v>
      </c>
      <c r="B25" s="14">
        <f t="shared" si="0"/>
        <v>273.2</v>
      </c>
      <c r="C25" s="1">
        <v>3278.4</v>
      </c>
    </row>
    <row r="26" spans="1:3" ht="18.75">
      <c r="A26" s="1" t="s">
        <v>19</v>
      </c>
      <c r="B26" s="14">
        <f t="shared" si="0"/>
        <v>135.07083333333333</v>
      </c>
      <c r="C26" s="1">
        <v>1620.85</v>
      </c>
    </row>
    <row r="27" spans="1:3" ht="18.75">
      <c r="A27" s="1" t="s">
        <v>78</v>
      </c>
      <c r="B27" s="14">
        <f t="shared" si="0"/>
        <v>21030.636666666669</v>
      </c>
      <c r="C27" s="1">
        <v>252367.64</v>
      </c>
    </row>
    <row r="28" spans="1:3" ht="18.75">
      <c r="A28" s="6" t="s">
        <v>79</v>
      </c>
      <c r="B28" s="14">
        <f t="shared" si="0"/>
        <v>111707.15083333333</v>
      </c>
      <c r="C28" s="6">
        <f>SUM(C13:C27)</f>
        <v>1340485.81</v>
      </c>
    </row>
    <row r="29" spans="1:3" ht="15.75">
      <c r="A29" s="6" t="s">
        <v>80</v>
      </c>
      <c r="B29" s="7"/>
      <c r="C29" s="6"/>
    </row>
    <row r="30" spans="1:3" ht="15.75">
      <c r="A30" s="6" t="s">
        <v>81</v>
      </c>
      <c r="B30" s="1"/>
      <c r="C30" s="6">
        <v>3379.7</v>
      </c>
    </row>
    <row r="31" spans="1:3" ht="15.75">
      <c r="A31" s="1" t="s">
        <v>33</v>
      </c>
      <c r="B31" s="6">
        <v>246167.27</v>
      </c>
      <c r="C31" s="1"/>
    </row>
    <row r="32" spans="1:3" ht="15.75">
      <c r="A32" s="1" t="s">
        <v>22</v>
      </c>
      <c r="B32" s="1"/>
      <c r="C32" s="1"/>
    </row>
    <row r="33" spans="1:2" ht="15.75">
      <c r="A33" s="1" t="s">
        <v>23</v>
      </c>
    </row>
    <row r="34" spans="1:2" ht="15.75">
      <c r="A34" s="1" t="s">
        <v>82</v>
      </c>
      <c r="B34" s="13">
        <v>27378.880000000001</v>
      </c>
    </row>
    <row r="36" spans="1:2" ht="15.75">
      <c r="A36" s="10" t="s">
        <v>73</v>
      </c>
    </row>
    <row r="38" spans="1:2">
      <c r="A38" t="s">
        <v>75</v>
      </c>
    </row>
    <row r="39" spans="1:2">
      <c r="A39" t="s">
        <v>74</v>
      </c>
    </row>
    <row r="41" spans="1:2">
      <c r="A41" t="s">
        <v>76</v>
      </c>
    </row>
  </sheetData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49"/>
  <sheetViews>
    <sheetView workbookViewId="0">
      <selection activeCell="E27" sqref="E27"/>
    </sheetView>
  </sheetViews>
  <sheetFormatPr defaultRowHeight="15"/>
  <cols>
    <col min="1" max="1" width="53.140625" customWidth="1"/>
    <col min="2" max="2" width="14.7109375" customWidth="1"/>
    <col min="3" max="3" width="15.140625" customWidth="1"/>
  </cols>
  <sheetData>
    <row r="1" spans="1:3" ht="15.75">
      <c r="A1" s="1" t="s">
        <v>0</v>
      </c>
    </row>
    <row r="2" spans="1:3" ht="15.75">
      <c r="A2" s="1" t="s">
        <v>134</v>
      </c>
      <c r="B2" s="1"/>
      <c r="C2" s="1"/>
    </row>
    <row r="3" spans="1:3" ht="15.75">
      <c r="A3" s="1" t="s">
        <v>92</v>
      </c>
      <c r="B3" s="1"/>
      <c r="C3" s="1"/>
    </row>
    <row r="4" spans="1:3" ht="15.75">
      <c r="A4" s="1" t="s">
        <v>28</v>
      </c>
      <c r="B4" s="1"/>
      <c r="C4" s="1"/>
    </row>
    <row r="5" spans="1:3" ht="15.75">
      <c r="A5" s="1" t="s">
        <v>77</v>
      </c>
      <c r="B5" s="1"/>
      <c r="C5" s="1"/>
    </row>
    <row r="6" spans="1:3" ht="15.75">
      <c r="A6" s="1"/>
      <c r="B6" s="1"/>
      <c r="C6" s="1"/>
    </row>
    <row r="7" spans="1:3" ht="15.75">
      <c r="A7" s="1" t="s">
        <v>1</v>
      </c>
      <c r="B7" s="1" t="s">
        <v>2</v>
      </c>
      <c r="C7" s="1" t="s">
        <v>3</v>
      </c>
    </row>
    <row r="8" spans="1:3" ht="15.75">
      <c r="A8" s="1" t="s">
        <v>24</v>
      </c>
      <c r="B8" s="2"/>
      <c r="C8" s="6">
        <v>-57800.21</v>
      </c>
    </row>
    <row r="9" spans="1:3" ht="15.75">
      <c r="A9" s="1" t="s">
        <v>4</v>
      </c>
      <c r="B9" s="7">
        <f>C9/12</f>
        <v>35245.128333333334</v>
      </c>
      <c r="C9" s="1">
        <v>422941.54</v>
      </c>
    </row>
    <row r="10" spans="1:3" ht="15.75">
      <c r="A10" s="1" t="s">
        <v>31</v>
      </c>
      <c r="B10" s="7">
        <f t="shared" ref="B10:B28" si="0">C10/12</f>
        <v>1328.82</v>
      </c>
      <c r="C10" s="1">
        <f>1669.65+14276.19</f>
        <v>15945.84</v>
      </c>
    </row>
    <row r="11" spans="1:3" ht="15.75">
      <c r="A11" s="6" t="s">
        <v>17</v>
      </c>
      <c r="B11" s="7">
        <f t="shared" si="0"/>
        <v>36573.948333333334</v>
      </c>
      <c r="C11" s="6">
        <f>SUM(C9:C10)</f>
        <v>438887.38</v>
      </c>
    </row>
    <row r="12" spans="1:3" ht="15.75">
      <c r="A12" s="1" t="s">
        <v>18</v>
      </c>
      <c r="B12" s="7">
        <f t="shared" si="0"/>
        <v>0</v>
      </c>
      <c r="C12" s="1"/>
    </row>
    <row r="13" spans="1:3" ht="15.75">
      <c r="A13" s="1" t="s">
        <v>25</v>
      </c>
      <c r="B13" s="7">
        <f t="shared" si="0"/>
        <v>9330.6883333333335</v>
      </c>
      <c r="C13" s="1">
        <f>91496.45+20471.81</f>
        <v>111968.26</v>
      </c>
    </row>
    <row r="14" spans="1:3" ht="15.75">
      <c r="A14" s="1" t="s">
        <v>32</v>
      </c>
      <c r="B14" s="7">
        <f t="shared" si="0"/>
        <v>8497.5049999999992</v>
      </c>
      <c r="C14" s="1">
        <f>28512.48+73457.58</f>
        <v>101970.06</v>
      </c>
    </row>
    <row r="15" spans="1:3" ht="15.75">
      <c r="A15" s="1" t="s">
        <v>5</v>
      </c>
      <c r="B15" s="7">
        <f t="shared" si="0"/>
        <v>0</v>
      </c>
      <c r="C15" s="1"/>
    </row>
    <row r="16" spans="1:3" ht="15.75">
      <c r="A16" s="1" t="s">
        <v>6</v>
      </c>
      <c r="B16" s="7">
        <f t="shared" si="0"/>
        <v>2795.5833333333335</v>
      </c>
      <c r="C16" s="1">
        <v>33547</v>
      </c>
    </row>
    <row r="17" spans="1:3" ht="15.75">
      <c r="A17" s="1" t="s">
        <v>7</v>
      </c>
      <c r="B17" s="7">
        <f t="shared" si="0"/>
        <v>1344.83</v>
      </c>
      <c r="C17" s="1">
        <v>16137.96</v>
      </c>
    </row>
    <row r="18" spans="1:3" ht="15.75">
      <c r="A18" s="1" t="s">
        <v>8</v>
      </c>
      <c r="B18" s="7">
        <f t="shared" si="0"/>
        <v>0</v>
      </c>
      <c r="C18" s="1"/>
    </row>
    <row r="19" spans="1:3" ht="15.75">
      <c r="A19" s="1" t="s">
        <v>9</v>
      </c>
      <c r="B19" s="7">
        <f t="shared" si="0"/>
        <v>0</v>
      </c>
      <c r="C19" s="1"/>
    </row>
    <row r="20" spans="1:3" ht="15.75">
      <c r="A20" s="1" t="s">
        <v>10</v>
      </c>
      <c r="B20" s="7">
        <f t="shared" si="0"/>
        <v>710.65166666666664</v>
      </c>
      <c r="C20" s="1">
        <v>8527.82</v>
      </c>
    </row>
    <row r="21" spans="1:3" ht="15.75">
      <c r="A21" s="1" t="s">
        <v>11</v>
      </c>
      <c r="B21" s="7">
        <f t="shared" si="0"/>
        <v>1760.2299999999998</v>
      </c>
      <c r="C21" s="1">
        <v>21122.76</v>
      </c>
    </row>
    <row r="22" spans="1:3" ht="15.75">
      <c r="A22" s="1" t="s">
        <v>12</v>
      </c>
      <c r="B22" s="7">
        <f t="shared" si="0"/>
        <v>2665.9866666666667</v>
      </c>
      <c r="C22" s="1">
        <v>31991.84</v>
      </c>
    </row>
    <row r="23" spans="1:3" ht="15.75">
      <c r="A23" s="1" t="s">
        <v>13</v>
      </c>
      <c r="B23" s="7">
        <f t="shared" si="0"/>
        <v>466.97499999999997</v>
      </c>
      <c r="C23" s="1">
        <v>5603.7</v>
      </c>
    </row>
    <row r="24" spans="1:3" ht="15.75">
      <c r="A24" s="1" t="s">
        <v>14</v>
      </c>
      <c r="B24" s="7">
        <f t="shared" si="0"/>
        <v>1902.4324999999999</v>
      </c>
      <c r="C24" s="1">
        <v>22829.19</v>
      </c>
    </row>
    <row r="25" spans="1:3" ht="15.75">
      <c r="A25" s="1" t="s">
        <v>29</v>
      </c>
      <c r="B25" s="7">
        <f t="shared" si="0"/>
        <v>224.84</v>
      </c>
      <c r="C25" s="1">
        <v>2698.08</v>
      </c>
    </row>
    <row r="26" spans="1:3" ht="15.75">
      <c r="A26" s="1" t="s">
        <v>19</v>
      </c>
      <c r="B26" s="7">
        <f t="shared" si="0"/>
        <v>59.44083333333333</v>
      </c>
      <c r="C26" s="1">
        <v>713.29</v>
      </c>
    </row>
    <row r="27" spans="1:3" ht="15.75">
      <c r="A27" s="1" t="s">
        <v>78</v>
      </c>
      <c r="B27" s="7">
        <f t="shared" si="0"/>
        <v>8477.2966666666671</v>
      </c>
      <c r="C27" s="1">
        <v>101727.56</v>
      </c>
    </row>
    <row r="28" spans="1:3" ht="15.75">
      <c r="A28" s="6" t="s">
        <v>79</v>
      </c>
      <c r="B28" s="7">
        <f t="shared" si="0"/>
        <v>38236.460000000006</v>
      </c>
      <c r="C28" s="6">
        <f>SUM(C13:C27)</f>
        <v>458837.52000000008</v>
      </c>
    </row>
    <row r="29" spans="1:3" ht="15.75">
      <c r="A29" s="6" t="s">
        <v>80</v>
      </c>
      <c r="B29" s="7"/>
      <c r="C29" s="6"/>
    </row>
    <row r="30" spans="1:3" ht="15.75">
      <c r="A30" s="6" t="s">
        <v>81</v>
      </c>
      <c r="B30" s="1"/>
      <c r="C30" s="6">
        <v>77750.350000000006</v>
      </c>
    </row>
    <row r="31" spans="1:3" ht="15.75">
      <c r="A31" s="1" t="s">
        <v>33</v>
      </c>
      <c r="B31" s="6">
        <v>132176.4</v>
      </c>
      <c r="C31" s="1"/>
    </row>
    <row r="32" spans="1:3" ht="15.75">
      <c r="A32" s="1" t="s">
        <v>22</v>
      </c>
      <c r="B32" s="1"/>
      <c r="C32" s="1"/>
    </row>
    <row r="33" spans="1:3" ht="15.75">
      <c r="A33" s="1" t="s">
        <v>23</v>
      </c>
    </row>
    <row r="34" spans="1:3" ht="15.75">
      <c r="A34" s="1" t="s">
        <v>82</v>
      </c>
      <c r="B34">
        <v>0</v>
      </c>
    </row>
    <row r="36" spans="1:3" ht="15.75">
      <c r="A36" s="10" t="s">
        <v>73</v>
      </c>
    </row>
    <row r="38" spans="1:3">
      <c r="A38" t="s">
        <v>75</v>
      </c>
    </row>
    <row r="39" spans="1:3">
      <c r="A39" t="s">
        <v>74</v>
      </c>
    </row>
    <row r="41" spans="1:3">
      <c r="A41" t="s">
        <v>76</v>
      </c>
    </row>
    <row r="47" spans="1:3" ht="15.75">
      <c r="A47" s="1"/>
      <c r="B47" s="1"/>
      <c r="C47" s="1"/>
    </row>
    <row r="48" spans="1:3" ht="15.75">
      <c r="A48" s="1"/>
    </row>
    <row r="49" spans="1:1" ht="15.75">
      <c r="A49" s="1"/>
    </row>
  </sheetData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41"/>
  <sheetViews>
    <sheetView workbookViewId="0">
      <selection activeCell="F30" sqref="F30"/>
    </sheetView>
  </sheetViews>
  <sheetFormatPr defaultRowHeight="15"/>
  <cols>
    <col min="1" max="1" width="54" customWidth="1"/>
    <col min="2" max="2" width="13.5703125" customWidth="1"/>
    <col min="3" max="3" width="14.28515625" customWidth="1"/>
  </cols>
  <sheetData>
    <row r="1" spans="1:3" ht="15.75">
      <c r="A1" s="1" t="s">
        <v>0</v>
      </c>
    </row>
    <row r="2" spans="1:3" ht="15.75">
      <c r="A2" s="1" t="s">
        <v>135</v>
      </c>
      <c r="B2" s="1"/>
      <c r="C2" s="1"/>
    </row>
    <row r="3" spans="1:3" ht="15.75">
      <c r="A3" s="1" t="s">
        <v>92</v>
      </c>
      <c r="B3" s="1"/>
      <c r="C3" s="1"/>
    </row>
    <row r="4" spans="1:3" ht="15.75">
      <c r="A4" s="1" t="s">
        <v>28</v>
      </c>
      <c r="B4" s="1"/>
      <c r="C4" s="1"/>
    </row>
    <row r="5" spans="1:3" ht="15.75">
      <c r="A5" s="1" t="s">
        <v>77</v>
      </c>
      <c r="B5" s="1"/>
      <c r="C5" s="1"/>
    </row>
    <row r="6" spans="1:3" ht="15.75">
      <c r="A6" s="1"/>
      <c r="B6" s="1"/>
      <c r="C6" s="1"/>
    </row>
    <row r="7" spans="1:3" ht="15.75">
      <c r="A7" s="1" t="s">
        <v>1</v>
      </c>
      <c r="B7" s="1" t="s">
        <v>2</v>
      </c>
      <c r="C7" s="1" t="s">
        <v>3</v>
      </c>
    </row>
    <row r="8" spans="1:3" ht="15.75">
      <c r="A8" s="1" t="s">
        <v>139</v>
      </c>
      <c r="B8" s="2"/>
      <c r="C8" s="6">
        <v>-65143</v>
      </c>
    </row>
    <row r="9" spans="1:3" ht="15.75">
      <c r="A9" s="1" t="s">
        <v>4</v>
      </c>
      <c r="B9" s="7">
        <f>C9/12</f>
        <v>37162.558333333334</v>
      </c>
      <c r="C9" s="1">
        <v>445950.7</v>
      </c>
    </row>
    <row r="10" spans="1:3" ht="15.75">
      <c r="A10" s="1" t="s">
        <v>31</v>
      </c>
      <c r="B10" s="7">
        <f t="shared" ref="B10:B28" si="0">C10/12</f>
        <v>533.33333333333337</v>
      </c>
      <c r="C10" s="1">
        <v>6400</v>
      </c>
    </row>
    <row r="11" spans="1:3" ht="15.75">
      <c r="A11" s="6" t="s">
        <v>17</v>
      </c>
      <c r="B11" s="7">
        <f t="shared" si="0"/>
        <v>37695.89166666667</v>
      </c>
      <c r="C11" s="6">
        <f>SUM(C9:C10)</f>
        <v>452350.7</v>
      </c>
    </row>
    <row r="12" spans="1:3" ht="15.75">
      <c r="A12" s="1" t="s">
        <v>18</v>
      </c>
      <c r="B12" s="7">
        <f t="shared" si="0"/>
        <v>0</v>
      </c>
      <c r="C12" s="1"/>
    </row>
    <row r="13" spans="1:3" ht="15.75">
      <c r="A13" s="1" t="s">
        <v>25</v>
      </c>
      <c r="B13" s="7">
        <f t="shared" si="0"/>
        <v>9188.3799999999992</v>
      </c>
      <c r="C13" s="1">
        <f>90100.98+20159.58</f>
        <v>110260.56</v>
      </c>
    </row>
    <row r="14" spans="1:3" ht="15.75">
      <c r="A14" s="1" t="s">
        <v>32</v>
      </c>
      <c r="B14" s="7">
        <f t="shared" si="0"/>
        <v>6561.5266666666676</v>
      </c>
      <c r="C14" s="1">
        <f>21178.08+57560.24</f>
        <v>78738.320000000007</v>
      </c>
    </row>
    <row r="15" spans="1:3" ht="15.75">
      <c r="A15" s="1" t="s">
        <v>5</v>
      </c>
      <c r="B15" s="7">
        <f t="shared" si="0"/>
        <v>0</v>
      </c>
      <c r="C15" s="1"/>
    </row>
    <row r="16" spans="1:3" ht="15.75">
      <c r="A16" s="1" t="s">
        <v>6</v>
      </c>
      <c r="B16" s="7">
        <f t="shared" si="0"/>
        <v>1139</v>
      </c>
      <c r="C16" s="1">
        <v>13668</v>
      </c>
    </row>
    <row r="17" spans="1:3" ht="15.75">
      <c r="A17" s="1" t="s">
        <v>7</v>
      </c>
      <c r="B17" s="7">
        <f t="shared" si="0"/>
        <v>1359.11</v>
      </c>
      <c r="C17" s="1">
        <v>16309.32</v>
      </c>
    </row>
    <row r="18" spans="1:3" ht="15.75">
      <c r="A18" s="1" t="s">
        <v>8</v>
      </c>
      <c r="B18" s="7">
        <f t="shared" si="0"/>
        <v>160.87</v>
      </c>
      <c r="C18" s="1">
        <v>1930.44</v>
      </c>
    </row>
    <row r="19" spans="1:3" ht="15.75">
      <c r="A19" s="1" t="s">
        <v>9</v>
      </c>
      <c r="B19" s="7">
        <f t="shared" si="0"/>
        <v>0</v>
      </c>
      <c r="C19" s="1"/>
    </row>
    <row r="20" spans="1:3" ht="15.75">
      <c r="A20" s="1" t="s">
        <v>10</v>
      </c>
      <c r="B20" s="7">
        <f t="shared" si="0"/>
        <v>767.50416666666661</v>
      </c>
      <c r="C20" s="1">
        <v>9210.0499999999993</v>
      </c>
    </row>
    <row r="21" spans="1:3" ht="15.75">
      <c r="A21" s="1" t="s">
        <v>11</v>
      </c>
      <c r="B21" s="7">
        <f t="shared" si="0"/>
        <v>1848.6116666666667</v>
      </c>
      <c r="C21" s="1">
        <v>22183.34</v>
      </c>
    </row>
    <row r="22" spans="1:3" ht="15.75">
      <c r="A22" s="1" t="s">
        <v>12</v>
      </c>
      <c r="B22" s="7">
        <f t="shared" si="0"/>
        <v>2625.3266666666664</v>
      </c>
      <c r="C22" s="1">
        <v>31503.919999999998</v>
      </c>
    </row>
    <row r="23" spans="1:3" ht="15.75">
      <c r="A23" s="1" t="s">
        <v>13</v>
      </c>
      <c r="B23" s="7">
        <f t="shared" si="0"/>
        <v>519.99</v>
      </c>
      <c r="C23" s="1">
        <v>6239.88</v>
      </c>
    </row>
    <row r="24" spans="1:3" ht="15.75">
      <c r="A24" s="1" t="s">
        <v>14</v>
      </c>
      <c r="B24" s="7">
        <f t="shared" si="0"/>
        <v>1960.7916666666667</v>
      </c>
      <c r="C24" s="1">
        <v>23529.5</v>
      </c>
    </row>
    <row r="25" spans="1:3" ht="15.75">
      <c r="A25" s="1" t="s">
        <v>29</v>
      </c>
      <c r="B25" s="7">
        <f t="shared" si="0"/>
        <v>224.64916666666667</v>
      </c>
      <c r="C25" s="1">
        <v>2695.79</v>
      </c>
    </row>
    <row r="26" spans="1:3" ht="15.75">
      <c r="A26" s="1" t="s">
        <v>19</v>
      </c>
      <c r="B26" s="7">
        <f t="shared" si="0"/>
        <v>0</v>
      </c>
      <c r="C26" s="1"/>
    </row>
    <row r="27" spans="1:3" ht="15.75">
      <c r="A27" s="1" t="s">
        <v>78</v>
      </c>
      <c r="B27" s="7">
        <f t="shared" si="0"/>
        <v>8739.376666666667</v>
      </c>
      <c r="C27" s="1">
        <v>104872.52</v>
      </c>
    </row>
    <row r="28" spans="1:3" ht="15.75">
      <c r="A28" s="6" t="s">
        <v>79</v>
      </c>
      <c r="B28" s="7">
        <f t="shared" si="0"/>
        <v>35095.136666666665</v>
      </c>
      <c r="C28" s="6">
        <f>SUM(C13:C27)</f>
        <v>421141.64</v>
      </c>
    </row>
    <row r="29" spans="1:3" ht="15.75">
      <c r="A29" s="6" t="s">
        <v>80</v>
      </c>
      <c r="B29" s="7"/>
      <c r="C29" s="6"/>
    </row>
    <row r="30" spans="1:3" ht="15.75">
      <c r="A30" s="6" t="s">
        <v>81</v>
      </c>
      <c r="B30" s="1"/>
      <c r="C30" s="6">
        <v>33933.94</v>
      </c>
    </row>
    <row r="31" spans="1:3" ht="15.75">
      <c r="A31" s="1" t="s">
        <v>33</v>
      </c>
      <c r="B31" s="6">
        <v>35896.14</v>
      </c>
      <c r="C31" s="1"/>
    </row>
    <row r="32" spans="1:3" ht="15.75">
      <c r="A32" s="1" t="s">
        <v>22</v>
      </c>
      <c r="B32" s="1"/>
      <c r="C32" s="1"/>
    </row>
    <row r="33" spans="1:2" ht="15.75">
      <c r="A33" s="1" t="s">
        <v>23</v>
      </c>
    </row>
    <row r="34" spans="1:2" ht="18.75">
      <c r="A34" s="1" t="s">
        <v>82</v>
      </c>
      <c r="B34" s="14">
        <v>5860.63</v>
      </c>
    </row>
    <row r="35" spans="1:2">
      <c r="B35" s="13"/>
    </row>
    <row r="36" spans="1:2" ht="15.75">
      <c r="A36" s="10" t="s">
        <v>73</v>
      </c>
    </row>
    <row r="38" spans="1:2">
      <c r="A38" t="s">
        <v>75</v>
      </c>
    </row>
    <row r="39" spans="1:2">
      <c r="A39" t="s">
        <v>74</v>
      </c>
    </row>
    <row r="41" spans="1:2">
      <c r="A41" t="s">
        <v>76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workbookViewId="0">
      <selection activeCell="C31" sqref="C31"/>
    </sheetView>
  </sheetViews>
  <sheetFormatPr defaultRowHeight="15"/>
  <cols>
    <col min="1" max="1" width="53.85546875" customWidth="1"/>
    <col min="2" max="2" width="14.5703125" customWidth="1"/>
    <col min="3" max="3" width="14.140625" customWidth="1"/>
    <col min="5" max="5" width="17.28515625" customWidth="1"/>
  </cols>
  <sheetData>
    <row r="1" spans="1:3" ht="15.75">
      <c r="A1" s="1" t="s">
        <v>0</v>
      </c>
    </row>
    <row r="2" spans="1:3" ht="15.75">
      <c r="A2" s="1" t="s">
        <v>118</v>
      </c>
      <c r="B2" s="1"/>
      <c r="C2" s="1"/>
    </row>
    <row r="3" spans="1:3" ht="15.75">
      <c r="A3" s="1" t="s">
        <v>92</v>
      </c>
      <c r="B3" s="1"/>
      <c r="C3" s="1"/>
    </row>
    <row r="4" spans="1:3" ht="15.75">
      <c r="A4" s="1" t="s">
        <v>28</v>
      </c>
      <c r="B4" s="1"/>
      <c r="C4" s="1"/>
    </row>
    <row r="5" spans="1:3" ht="15.75">
      <c r="A5" s="1" t="s">
        <v>77</v>
      </c>
      <c r="B5" s="1"/>
      <c r="C5" s="1"/>
    </row>
    <row r="6" spans="1:3" ht="15.75">
      <c r="A6" s="1"/>
      <c r="B6" s="1"/>
      <c r="C6" s="1"/>
    </row>
    <row r="7" spans="1:3" ht="15.75">
      <c r="A7" s="1" t="s">
        <v>1</v>
      </c>
      <c r="B7" s="1" t="s">
        <v>2</v>
      </c>
      <c r="C7" s="1" t="s">
        <v>3</v>
      </c>
    </row>
    <row r="8" spans="1:3" ht="15.75">
      <c r="A8" s="1" t="s">
        <v>138</v>
      </c>
      <c r="B8" s="2"/>
      <c r="C8" s="6">
        <v>-68528.22</v>
      </c>
    </row>
    <row r="9" spans="1:3" ht="15.75">
      <c r="A9" s="1" t="s">
        <v>4</v>
      </c>
      <c r="B9" s="7">
        <f>C9/12</f>
        <v>205351.03583333336</v>
      </c>
      <c r="C9" s="1">
        <f>2464212.43</f>
        <v>2464212.4300000002</v>
      </c>
    </row>
    <row r="10" spans="1:3" ht="15.75">
      <c r="A10" s="1" t="s">
        <v>31</v>
      </c>
      <c r="B10" s="7">
        <f t="shared" ref="B10:B28" si="0">C10/12</f>
        <v>13492.182500000001</v>
      </c>
      <c r="C10" s="1">
        <f>31515.09+130391.1</f>
        <v>161906.19</v>
      </c>
    </row>
    <row r="11" spans="1:3" ht="15.75">
      <c r="A11" s="6" t="s">
        <v>17</v>
      </c>
      <c r="B11" s="7">
        <f t="shared" si="0"/>
        <v>218843.21833333335</v>
      </c>
      <c r="C11" s="6">
        <f>SUM(C9:C10)</f>
        <v>2626118.62</v>
      </c>
    </row>
    <row r="12" spans="1:3" ht="15.75">
      <c r="A12" s="1" t="s">
        <v>18</v>
      </c>
      <c r="B12" s="7">
        <f t="shared" si="0"/>
        <v>0</v>
      </c>
      <c r="C12" s="1"/>
    </row>
    <row r="13" spans="1:3" ht="15.75">
      <c r="A13" s="1" t="s">
        <v>25</v>
      </c>
      <c r="B13" s="7">
        <f t="shared" si="0"/>
        <v>52542.471666666657</v>
      </c>
      <c r="C13" s="2">
        <f>515229.91+115279.75</f>
        <v>630509.65999999992</v>
      </c>
    </row>
    <row r="14" spans="1:3" ht="15.75">
      <c r="A14" s="1" t="s">
        <v>32</v>
      </c>
      <c r="B14" s="7">
        <f t="shared" si="0"/>
        <v>30713.569166666664</v>
      </c>
      <c r="C14" s="1">
        <f>180009.12+188553.71</f>
        <v>368562.82999999996</v>
      </c>
    </row>
    <row r="15" spans="1:3" ht="15.75">
      <c r="A15" s="1" t="s">
        <v>5</v>
      </c>
      <c r="B15" s="7">
        <f t="shared" si="0"/>
        <v>10728.36</v>
      </c>
      <c r="C15" s="1">
        <v>128740.32</v>
      </c>
    </row>
    <row r="16" spans="1:3" ht="15.75">
      <c r="A16" s="1" t="s">
        <v>6</v>
      </c>
      <c r="B16" s="7">
        <f t="shared" si="0"/>
        <v>12956.916666666666</v>
      </c>
      <c r="C16" s="1">
        <v>155483</v>
      </c>
    </row>
    <row r="17" spans="1:3" ht="15.75">
      <c r="A17" s="1" t="s">
        <v>7</v>
      </c>
      <c r="B17" s="7">
        <f t="shared" si="0"/>
        <v>6158.55</v>
      </c>
      <c r="C17" s="1">
        <v>73902.600000000006</v>
      </c>
    </row>
    <row r="18" spans="1:3" ht="15.75">
      <c r="A18" s="1" t="s">
        <v>8</v>
      </c>
      <c r="B18" s="7">
        <f t="shared" si="0"/>
        <v>272.20999999999998</v>
      </c>
      <c r="C18" s="1">
        <v>3266.52</v>
      </c>
    </row>
    <row r="19" spans="1:3" ht="15.75">
      <c r="A19" s="1" t="s">
        <v>9</v>
      </c>
      <c r="B19" s="7">
        <f t="shared" si="0"/>
        <v>33724.04</v>
      </c>
      <c r="C19" s="1">
        <v>404688.48</v>
      </c>
    </row>
    <row r="20" spans="1:3" ht="15.75">
      <c r="A20" s="1" t="s">
        <v>10</v>
      </c>
      <c r="B20" s="7">
        <f t="shared" si="0"/>
        <v>2160.3816666666667</v>
      </c>
      <c r="C20" s="1">
        <v>25924.58</v>
      </c>
    </row>
    <row r="21" spans="1:3" ht="15.75">
      <c r="A21" s="1" t="s">
        <v>11</v>
      </c>
      <c r="B21" s="7">
        <f t="shared" si="0"/>
        <v>10313.0275</v>
      </c>
      <c r="C21" s="1">
        <v>123756.33</v>
      </c>
    </row>
    <row r="22" spans="1:3" ht="15.75">
      <c r="A22" s="1" t="s">
        <v>12</v>
      </c>
      <c r="B22" s="7">
        <f t="shared" si="0"/>
        <v>15012.563333333334</v>
      </c>
      <c r="C22" s="1">
        <v>180150.76</v>
      </c>
    </row>
    <row r="23" spans="1:3" ht="15.75">
      <c r="A23" s="1" t="s">
        <v>13</v>
      </c>
      <c r="B23" s="7">
        <f t="shared" si="0"/>
        <v>0</v>
      </c>
      <c r="C23" s="1"/>
    </row>
    <row r="24" spans="1:3" ht="15.75">
      <c r="A24" s="1" t="s">
        <v>14</v>
      </c>
      <c r="B24" s="7">
        <f t="shared" si="0"/>
        <v>11383.36</v>
      </c>
      <c r="C24" s="1">
        <v>136600.32000000001</v>
      </c>
    </row>
    <row r="25" spans="1:3" ht="15.75">
      <c r="A25" s="1" t="s">
        <v>29</v>
      </c>
      <c r="B25" s="7">
        <f t="shared" si="0"/>
        <v>0</v>
      </c>
      <c r="C25" s="1"/>
    </row>
    <row r="26" spans="1:3" ht="15.75">
      <c r="A26" s="1" t="s">
        <v>19</v>
      </c>
      <c r="B26" s="7">
        <f t="shared" si="0"/>
        <v>6000.4733333333324</v>
      </c>
      <c r="C26" s="1">
        <v>72005.679999999993</v>
      </c>
    </row>
    <row r="27" spans="1:3" ht="15.75">
      <c r="A27" s="1" t="s">
        <v>78</v>
      </c>
      <c r="B27" s="7">
        <f t="shared" si="0"/>
        <v>36861.209166666667</v>
      </c>
      <c r="C27" s="1">
        <v>442334.51</v>
      </c>
    </row>
    <row r="28" spans="1:3" ht="15.75">
      <c r="A28" s="6" t="s">
        <v>79</v>
      </c>
      <c r="B28" s="7">
        <f t="shared" si="0"/>
        <v>228827.13249999998</v>
      </c>
      <c r="C28" s="12">
        <f>SUM(C13:C27)</f>
        <v>2745925.59</v>
      </c>
    </row>
    <row r="29" spans="1:3" ht="15.75">
      <c r="A29" s="6" t="s">
        <v>80</v>
      </c>
      <c r="B29" s="7"/>
      <c r="C29" s="6"/>
    </row>
    <row r="30" spans="1:3" ht="15.75">
      <c r="A30" s="6" t="s">
        <v>81</v>
      </c>
      <c r="B30" s="1"/>
      <c r="C30" s="6">
        <v>188335.19</v>
      </c>
    </row>
    <row r="31" spans="1:3" ht="15.75">
      <c r="A31" s="1" t="s">
        <v>33</v>
      </c>
      <c r="B31" s="6">
        <v>99623.43</v>
      </c>
      <c r="C31" s="1"/>
    </row>
    <row r="32" spans="1:3" ht="15.75">
      <c r="A32" s="1" t="s">
        <v>22</v>
      </c>
      <c r="B32" s="1"/>
      <c r="C32" s="1"/>
    </row>
    <row r="33" spans="1:2" ht="15.75">
      <c r="A33" s="1" t="s">
        <v>23</v>
      </c>
    </row>
    <row r="34" spans="1:2" ht="15.75">
      <c r="A34" s="1" t="s">
        <v>82</v>
      </c>
      <c r="B34" s="4">
        <v>62673.21</v>
      </c>
    </row>
    <row r="36" spans="1:2" ht="15.75">
      <c r="A36" s="10" t="s">
        <v>73</v>
      </c>
    </row>
    <row r="38" spans="1:2">
      <c r="A38" t="s">
        <v>75</v>
      </c>
    </row>
    <row r="39" spans="1:2">
      <c r="A39" t="s">
        <v>74</v>
      </c>
    </row>
    <row r="41" spans="1:2">
      <c r="A41" t="s">
        <v>76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41"/>
  <sheetViews>
    <sheetView workbookViewId="0">
      <selection sqref="A1:C43"/>
    </sheetView>
  </sheetViews>
  <sheetFormatPr defaultRowHeight="15"/>
  <cols>
    <col min="1" max="1" width="53.28515625" customWidth="1"/>
    <col min="2" max="2" width="14.7109375" customWidth="1"/>
    <col min="3" max="3" width="14" customWidth="1"/>
  </cols>
  <sheetData>
    <row r="1" spans="1:3" ht="15.75">
      <c r="A1" s="1" t="s">
        <v>0</v>
      </c>
    </row>
    <row r="2" spans="1:3" ht="15.75">
      <c r="A2" s="1" t="s">
        <v>136</v>
      </c>
      <c r="B2" s="1"/>
      <c r="C2" s="1"/>
    </row>
    <row r="3" spans="1:3" ht="15.75">
      <c r="A3" s="1" t="s">
        <v>92</v>
      </c>
      <c r="B3" s="1"/>
      <c r="C3" s="1"/>
    </row>
    <row r="4" spans="1:3" ht="15.75">
      <c r="A4" s="1" t="s">
        <v>28</v>
      </c>
      <c r="B4" s="1"/>
      <c r="C4" s="1"/>
    </row>
    <row r="5" spans="1:3" ht="15.75">
      <c r="A5" s="1" t="s">
        <v>77</v>
      </c>
      <c r="B5" s="1"/>
      <c r="C5" s="1"/>
    </row>
    <row r="6" spans="1:3" ht="15.75">
      <c r="A6" s="1"/>
      <c r="B6" s="1"/>
      <c r="C6" s="1"/>
    </row>
    <row r="7" spans="1:3" ht="15.75">
      <c r="A7" s="1" t="s">
        <v>1</v>
      </c>
      <c r="B7" s="1" t="s">
        <v>2</v>
      </c>
      <c r="C7" s="1" t="s">
        <v>3</v>
      </c>
    </row>
    <row r="8" spans="1:3" ht="15.75">
      <c r="A8" s="1" t="s">
        <v>24</v>
      </c>
      <c r="B8" s="2"/>
      <c r="C8" s="6"/>
    </row>
    <row r="9" spans="1:3" ht="15.75">
      <c r="A9" s="1" t="s">
        <v>4</v>
      </c>
      <c r="B9" s="7">
        <f>C9/12</f>
        <v>26027.215833333335</v>
      </c>
      <c r="C9" s="1">
        <v>312326.59000000003</v>
      </c>
    </row>
    <row r="10" spans="1:3" ht="15.75">
      <c r="A10" s="1" t="s">
        <v>31</v>
      </c>
      <c r="B10" s="7">
        <f t="shared" ref="B10:B28" si="0">C10/12</f>
        <v>951.36</v>
      </c>
      <c r="C10" s="1">
        <f>1607.58+9808.74</f>
        <v>11416.32</v>
      </c>
    </row>
    <row r="11" spans="1:3" ht="15.75">
      <c r="A11" s="6" t="s">
        <v>17</v>
      </c>
      <c r="B11" s="7">
        <f t="shared" si="0"/>
        <v>26978.575833333336</v>
      </c>
      <c r="C11" s="6">
        <f>SUM(C9:C10)</f>
        <v>323742.91000000003</v>
      </c>
    </row>
    <row r="12" spans="1:3" ht="15.75">
      <c r="A12" s="1" t="s">
        <v>18</v>
      </c>
      <c r="B12" s="7">
        <f t="shared" si="0"/>
        <v>0</v>
      </c>
      <c r="C12" s="1"/>
    </row>
    <row r="13" spans="1:3" ht="15.75">
      <c r="A13" s="1" t="s">
        <v>25</v>
      </c>
      <c r="B13" s="7">
        <f t="shared" si="0"/>
        <v>7666.1366666666663</v>
      </c>
      <c r="C13" s="1">
        <f>75173.94+16819.7</f>
        <v>91993.64</v>
      </c>
    </row>
    <row r="14" spans="1:3" ht="15.75">
      <c r="A14" s="1" t="s">
        <v>32</v>
      </c>
      <c r="B14" s="7">
        <f t="shared" si="0"/>
        <v>6695.8416666666672</v>
      </c>
      <c r="C14" s="1">
        <f>21896.2+58453.9</f>
        <v>80350.100000000006</v>
      </c>
    </row>
    <row r="15" spans="1:3" ht="15.75">
      <c r="A15" s="1" t="s">
        <v>5</v>
      </c>
      <c r="B15" s="7">
        <f t="shared" si="0"/>
        <v>0</v>
      </c>
      <c r="C15" s="1"/>
    </row>
    <row r="16" spans="1:3" ht="15.75">
      <c r="A16" s="1" t="s">
        <v>6</v>
      </c>
      <c r="B16" s="7">
        <f t="shared" si="0"/>
        <v>5189.666666666667</v>
      </c>
      <c r="C16" s="1">
        <v>62276</v>
      </c>
    </row>
    <row r="17" spans="1:3" ht="15.75">
      <c r="A17" s="1" t="s">
        <v>7</v>
      </c>
      <c r="B17" s="7">
        <f t="shared" si="0"/>
        <v>1125.2049999999999</v>
      </c>
      <c r="C17" s="1">
        <v>13502.46</v>
      </c>
    </row>
    <row r="18" spans="1:3" ht="15.75">
      <c r="A18" s="1" t="s">
        <v>8</v>
      </c>
      <c r="B18" s="7">
        <f t="shared" si="0"/>
        <v>271.26249999999999</v>
      </c>
      <c r="C18" s="1">
        <v>3255.15</v>
      </c>
    </row>
    <row r="19" spans="1:3" ht="15.75">
      <c r="A19" s="1" t="s">
        <v>9</v>
      </c>
      <c r="B19" s="7">
        <f t="shared" si="0"/>
        <v>0</v>
      </c>
      <c r="C19" s="1"/>
    </row>
    <row r="20" spans="1:3" ht="15.75">
      <c r="A20" s="1" t="s">
        <v>10</v>
      </c>
      <c r="B20" s="7">
        <f t="shared" si="0"/>
        <v>584.31666666666672</v>
      </c>
      <c r="C20" s="1">
        <v>7011.8</v>
      </c>
    </row>
    <row r="21" spans="1:3" ht="15.75">
      <c r="A21" s="1" t="s">
        <v>11</v>
      </c>
      <c r="B21" s="7">
        <f t="shared" si="0"/>
        <v>1296.2149999999999</v>
      </c>
      <c r="C21" s="1">
        <v>15554.58</v>
      </c>
    </row>
    <row r="22" spans="1:3" ht="15.75">
      <c r="A22" s="1" t="s">
        <v>12</v>
      </c>
      <c r="B22" s="7">
        <f t="shared" si="0"/>
        <v>2267.0641666666666</v>
      </c>
      <c r="C22" s="1">
        <v>27204.77</v>
      </c>
    </row>
    <row r="23" spans="1:3" ht="15.75">
      <c r="A23" s="1" t="s">
        <v>13</v>
      </c>
      <c r="B23" s="7">
        <f t="shared" si="0"/>
        <v>465.94916666666671</v>
      </c>
      <c r="C23" s="1">
        <v>5591.39</v>
      </c>
    </row>
    <row r="24" spans="1:3" ht="15.75">
      <c r="A24" s="1" t="s">
        <v>14</v>
      </c>
      <c r="B24" s="7">
        <f t="shared" si="0"/>
        <v>1403.3191666666669</v>
      </c>
      <c r="C24" s="1">
        <v>16839.830000000002</v>
      </c>
    </row>
    <row r="25" spans="1:3" ht="15.75">
      <c r="A25" s="1" t="s">
        <v>29</v>
      </c>
      <c r="B25" s="7">
        <f t="shared" si="0"/>
        <v>207.45083333333332</v>
      </c>
      <c r="C25" s="1">
        <v>2489.41</v>
      </c>
    </row>
    <row r="26" spans="1:3" ht="15.75">
      <c r="A26" s="1" t="s">
        <v>19</v>
      </c>
      <c r="B26" s="7">
        <f t="shared" si="0"/>
        <v>0</v>
      </c>
      <c r="C26" s="1"/>
    </row>
    <row r="27" spans="1:3" ht="15.75">
      <c r="A27" s="1" t="s">
        <v>78</v>
      </c>
      <c r="B27" s="7">
        <f t="shared" si="0"/>
        <v>8422.0933333333323</v>
      </c>
      <c r="C27" s="1">
        <v>101065.12</v>
      </c>
    </row>
    <row r="28" spans="1:3" ht="15.75">
      <c r="A28" s="6" t="s">
        <v>79</v>
      </c>
      <c r="B28" s="7">
        <f t="shared" si="0"/>
        <v>35594.520833333336</v>
      </c>
      <c r="C28" s="6">
        <f>SUM(C13:C27)</f>
        <v>427134.25</v>
      </c>
    </row>
    <row r="29" spans="1:3" ht="15.75">
      <c r="A29" s="6" t="s">
        <v>80</v>
      </c>
      <c r="B29" s="7"/>
      <c r="C29" s="6"/>
    </row>
    <row r="30" spans="1:3" ht="15.75">
      <c r="A30" s="6" t="s">
        <v>81</v>
      </c>
      <c r="B30" s="1"/>
      <c r="C30" s="6">
        <v>103391.34</v>
      </c>
    </row>
    <row r="31" spans="1:3" ht="15.75">
      <c r="A31" s="1" t="s">
        <v>33</v>
      </c>
      <c r="B31" s="6">
        <v>142283.76999999999</v>
      </c>
      <c r="C31" s="1"/>
    </row>
    <row r="32" spans="1:3" ht="15.75">
      <c r="A32" s="1" t="s">
        <v>22</v>
      </c>
      <c r="B32" s="1"/>
      <c r="C32" s="1"/>
    </row>
    <row r="33" spans="1:2" ht="15.75">
      <c r="A33" s="1" t="s">
        <v>23</v>
      </c>
    </row>
    <row r="34" spans="1:2" ht="15.75">
      <c r="A34" s="1" t="s">
        <v>82</v>
      </c>
      <c r="B34" s="13">
        <v>1735.61</v>
      </c>
    </row>
    <row r="36" spans="1:2" ht="15.75">
      <c r="A36" s="10" t="s">
        <v>73</v>
      </c>
    </row>
    <row r="38" spans="1:2">
      <c r="A38" t="s">
        <v>75</v>
      </c>
    </row>
    <row r="39" spans="1:2">
      <c r="A39" t="s">
        <v>74</v>
      </c>
    </row>
    <row r="41" spans="1:2">
      <c r="A41" t="s">
        <v>76</v>
      </c>
    </row>
  </sheetData>
  <pageMargins left="0.7" right="0.7" top="0.75" bottom="0.75" header="0.3" footer="0.3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41"/>
  <sheetViews>
    <sheetView topLeftCell="A19" workbookViewId="0">
      <selection activeCell="C31" sqref="C31"/>
    </sheetView>
  </sheetViews>
  <sheetFormatPr defaultRowHeight="15"/>
  <cols>
    <col min="1" max="1" width="58.28515625" customWidth="1"/>
    <col min="2" max="2" width="13.140625" customWidth="1"/>
    <col min="3" max="3" width="14" customWidth="1"/>
  </cols>
  <sheetData>
    <row r="1" spans="1:3" ht="15.75">
      <c r="A1" s="1" t="s">
        <v>0</v>
      </c>
    </row>
    <row r="2" spans="1:3" ht="15.75">
      <c r="A2" s="1" t="s">
        <v>110</v>
      </c>
      <c r="B2" s="1"/>
      <c r="C2" s="1"/>
    </row>
    <row r="3" spans="1:3" ht="15.75">
      <c r="A3" s="1" t="s">
        <v>92</v>
      </c>
      <c r="B3" s="1"/>
      <c r="C3" s="1"/>
    </row>
    <row r="4" spans="1:3" ht="15.75">
      <c r="A4" s="1" t="s">
        <v>28</v>
      </c>
      <c r="B4" s="1"/>
      <c r="C4" s="1"/>
    </row>
    <row r="5" spans="1:3" ht="15.75">
      <c r="A5" s="1" t="s">
        <v>77</v>
      </c>
      <c r="B5" s="1"/>
      <c r="C5" s="1"/>
    </row>
    <row r="6" spans="1:3" ht="15.75">
      <c r="A6" s="1"/>
      <c r="B6" s="1"/>
      <c r="C6" s="1"/>
    </row>
    <row r="7" spans="1:3" ht="15.75">
      <c r="A7" s="1" t="s">
        <v>1</v>
      </c>
      <c r="B7" s="1" t="s">
        <v>2</v>
      </c>
      <c r="C7" s="1" t="s">
        <v>3</v>
      </c>
    </row>
    <row r="8" spans="1:3" ht="15.75">
      <c r="A8" s="1" t="s">
        <v>138</v>
      </c>
      <c r="B8" s="2"/>
      <c r="C8" s="6">
        <v>-10318.129999999999</v>
      </c>
    </row>
    <row r="9" spans="1:3" ht="15.75">
      <c r="A9" s="1" t="s">
        <v>4</v>
      </c>
      <c r="B9" s="7">
        <f>C9/12</f>
        <v>33944.683333333334</v>
      </c>
      <c r="C9" s="1">
        <v>407336.2</v>
      </c>
    </row>
    <row r="10" spans="1:3" ht="15.75">
      <c r="A10" s="1" t="s">
        <v>31</v>
      </c>
      <c r="B10" s="7">
        <f t="shared" ref="B10:B28" si="0">C10/12</f>
        <v>4561.4708333333338</v>
      </c>
      <c r="C10" s="1">
        <f>625.87+54111.78</f>
        <v>54737.65</v>
      </c>
    </row>
    <row r="11" spans="1:3" ht="15.75">
      <c r="A11" s="6" t="s">
        <v>17</v>
      </c>
      <c r="B11" s="7">
        <f t="shared" si="0"/>
        <v>38506.154166666667</v>
      </c>
      <c r="C11" s="6">
        <f>SUM(C9:C10)</f>
        <v>462073.85000000003</v>
      </c>
    </row>
    <row r="12" spans="1:3" ht="15.75">
      <c r="A12" s="1" t="s">
        <v>18</v>
      </c>
      <c r="B12" s="7">
        <f t="shared" si="0"/>
        <v>0</v>
      </c>
      <c r="C12" s="1"/>
    </row>
    <row r="13" spans="1:3" ht="15.75">
      <c r="A13" s="1" t="s">
        <v>25</v>
      </c>
      <c r="B13" s="7">
        <f t="shared" si="0"/>
        <v>10621.110833333334</v>
      </c>
      <c r="C13" s="1">
        <f>104150.3+23303.03</f>
        <v>127453.33</v>
      </c>
    </row>
    <row r="14" spans="1:3" ht="15.75">
      <c r="A14" s="1" t="s">
        <v>32</v>
      </c>
      <c r="B14" s="7">
        <f t="shared" si="0"/>
        <v>10338.8225</v>
      </c>
      <c r="C14" s="1">
        <f>44776.51+79289.36</f>
        <v>124065.87</v>
      </c>
    </row>
    <row r="15" spans="1:3" ht="15.75">
      <c r="A15" s="1" t="s">
        <v>5</v>
      </c>
      <c r="B15" s="7">
        <f t="shared" si="0"/>
        <v>0</v>
      </c>
      <c r="C15" s="1"/>
    </row>
    <row r="16" spans="1:3" ht="15.75">
      <c r="A16" s="1" t="s">
        <v>6</v>
      </c>
      <c r="B16" s="7">
        <f t="shared" si="0"/>
        <v>8523.6458333333339</v>
      </c>
      <c r="C16" s="1">
        <v>102283.75</v>
      </c>
    </row>
    <row r="17" spans="1:3" ht="15.75">
      <c r="A17" s="1" t="s">
        <v>7</v>
      </c>
      <c r="B17" s="7">
        <f t="shared" si="0"/>
        <v>1447.595</v>
      </c>
      <c r="C17" s="1">
        <v>17371.14</v>
      </c>
    </row>
    <row r="18" spans="1:3" ht="15.75">
      <c r="A18" s="1" t="s">
        <v>8</v>
      </c>
      <c r="B18" s="7">
        <f t="shared" si="0"/>
        <v>136.25</v>
      </c>
      <c r="C18" s="1">
        <v>1635</v>
      </c>
    </row>
    <row r="19" spans="1:3" ht="15.75">
      <c r="A19" s="1" t="s">
        <v>9</v>
      </c>
      <c r="B19" s="7">
        <f t="shared" si="0"/>
        <v>0</v>
      </c>
      <c r="C19" s="1"/>
    </row>
    <row r="20" spans="1:3" ht="15.75">
      <c r="A20" s="1" t="s">
        <v>10</v>
      </c>
      <c r="B20" s="7">
        <f t="shared" si="0"/>
        <v>1487.6308333333334</v>
      </c>
      <c r="C20" s="1">
        <v>17851.57</v>
      </c>
    </row>
    <row r="21" spans="1:3" ht="15.75">
      <c r="A21" s="1" t="s">
        <v>11</v>
      </c>
      <c r="B21" s="7">
        <f t="shared" si="0"/>
        <v>1688.8233333333335</v>
      </c>
      <c r="C21" s="1">
        <v>20265.88</v>
      </c>
    </row>
    <row r="22" spans="1:3" ht="15.75">
      <c r="A22" s="1" t="s">
        <v>12</v>
      </c>
      <c r="B22" s="7">
        <f t="shared" si="0"/>
        <v>3034.6891666666666</v>
      </c>
      <c r="C22" s="1">
        <v>36416.269999999997</v>
      </c>
    </row>
    <row r="23" spans="1:3" ht="15.75">
      <c r="A23" s="1" t="s">
        <v>13</v>
      </c>
      <c r="B23" s="7">
        <f t="shared" si="0"/>
        <v>0</v>
      </c>
      <c r="C23" s="1"/>
    </row>
    <row r="24" spans="1:3" ht="15.75">
      <c r="A24" s="1" t="s">
        <v>14</v>
      </c>
      <c r="B24" s="7">
        <f t="shared" si="0"/>
        <v>2002.9383333333333</v>
      </c>
      <c r="C24" s="1">
        <v>24035.26</v>
      </c>
    </row>
    <row r="25" spans="1:3" ht="15.75">
      <c r="A25" s="1" t="s">
        <v>29</v>
      </c>
      <c r="B25" s="7">
        <f t="shared" si="0"/>
        <v>0</v>
      </c>
      <c r="C25" s="1"/>
    </row>
    <row r="26" spans="1:3" ht="15.75">
      <c r="A26" s="1" t="s">
        <v>19</v>
      </c>
      <c r="B26" s="7">
        <f t="shared" si="0"/>
        <v>59.44083333333333</v>
      </c>
      <c r="C26" s="1">
        <v>713.29</v>
      </c>
    </row>
    <row r="27" spans="1:3" ht="15.75">
      <c r="A27" s="1" t="s">
        <v>78</v>
      </c>
      <c r="B27" s="7">
        <f t="shared" si="0"/>
        <v>7958.6016666666665</v>
      </c>
      <c r="C27" s="1">
        <v>95503.22</v>
      </c>
    </row>
    <row r="28" spans="1:3" ht="15.75">
      <c r="A28" s="6" t="s">
        <v>79</v>
      </c>
      <c r="B28" s="7">
        <f t="shared" si="0"/>
        <v>47299.54833333334</v>
      </c>
      <c r="C28" s="6">
        <f>SUM(C13:C27)</f>
        <v>567594.58000000007</v>
      </c>
    </row>
    <row r="29" spans="1:3" ht="15.75">
      <c r="A29" s="6" t="s">
        <v>80</v>
      </c>
      <c r="B29" s="7"/>
      <c r="C29" s="6"/>
    </row>
    <row r="30" spans="1:3" ht="15.75">
      <c r="A30" s="6" t="s">
        <v>81</v>
      </c>
      <c r="B30" s="1"/>
      <c r="C30" s="6">
        <v>115838.86</v>
      </c>
    </row>
    <row r="31" spans="1:3" ht="15.75">
      <c r="A31" s="1" t="s">
        <v>33</v>
      </c>
      <c r="B31" s="6">
        <v>140786.64000000001</v>
      </c>
      <c r="C31" s="1"/>
    </row>
    <row r="32" spans="1:3" ht="15.75">
      <c r="A32" s="1" t="s">
        <v>22</v>
      </c>
      <c r="B32" s="1"/>
      <c r="C32" s="1"/>
    </row>
    <row r="33" spans="1:2" ht="15.75">
      <c r="A33" s="1" t="s">
        <v>23</v>
      </c>
    </row>
    <row r="34" spans="1:2" ht="18.75">
      <c r="A34" s="1" t="s">
        <v>137</v>
      </c>
      <c r="B34" s="14">
        <v>71731.7</v>
      </c>
    </row>
    <row r="35" spans="1:2" ht="26.25" customHeight="1"/>
    <row r="36" spans="1:2" ht="20.25" customHeight="1">
      <c r="A36" s="10" t="s">
        <v>73</v>
      </c>
    </row>
    <row r="37" spans="1:2" ht="25.5" customHeight="1"/>
    <row r="38" spans="1:2">
      <c r="A38" t="s">
        <v>75</v>
      </c>
    </row>
    <row r="39" spans="1:2">
      <c r="A39" t="s">
        <v>74</v>
      </c>
    </row>
    <row r="41" spans="1:2">
      <c r="A41" t="s">
        <v>76</v>
      </c>
    </row>
  </sheetData>
  <pageMargins left="0.7" right="0.7" top="0.75" bottom="0.75" header="0.3" footer="0.3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41"/>
  <sheetViews>
    <sheetView topLeftCell="A7" workbookViewId="0">
      <selection activeCell="B34" sqref="B34"/>
    </sheetView>
  </sheetViews>
  <sheetFormatPr defaultRowHeight="15"/>
  <cols>
    <col min="1" max="1" width="58.140625" customWidth="1"/>
    <col min="2" max="2" width="13.42578125" customWidth="1"/>
    <col min="3" max="3" width="14.140625" customWidth="1"/>
  </cols>
  <sheetData>
    <row r="1" spans="1:3" ht="15.75">
      <c r="A1" s="1" t="s">
        <v>0</v>
      </c>
    </row>
    <row r="2" spans="1:3" ht="15.75">
      <c r="A2" s="1" t="s">
        <v>111</v>
      </c>
      <c r="B2" s="1"/>
      <c r="C2" s="1"/>
    </row>
    <row r="3" spans="1:3" ht="15.75">
      <c r="A3" s="1" t="s">
        <v>92</v>
      </c>
      <c r="B3" s="1"/>
      <c r="C3" s="1"/>
    </row>
    <row r="4" spans="1:3" ht="15.75">
      <c r="A4" s="1" t="s">
        <v>28</v>
      </c>
      <c r="B4" s="1"/>
      <c r="C4" s="1"/>
    </row>
    <row r="5" spans="1:3" ht="15.75">
      <c r="A5" s="1" t="s">
        <v>77</v>
      </c>
      <c r="B5" s="1"/>
      <c r="C5" s="1"/>
    </row>
    <row r="6" spans="1:3" ht="15.75">
      <c r="A6" s="1"/>
      <c r="B6" s="1"/>
      <c r="C6" s="1"/>
    </row>
    <row r="7" spans="1:3" ht="15.75">
      <c r="A7" s="1" t="s">
        <v>1</v>
      </c>
      <c r="B7" s="1" t="s">
        <v>2</v>
      </c>
      <c r="C7" s="1" t="s">
        <v>3</v>
      </c>
    </row>
    <row r="8" spans="1:3" ht="15.75">
      <c r="A8" s="6" t="s">
        <v>138</v>
      </c>
      <c r="B8" s="2"/>
      <c r="C8" s="6">
        <v>-8906.4</v>
      </c>
    </row>
    <row r="9" spans="1:3" ht="15.75">
      <c r="A9" s="1" t="s">
        <v>4</v>
      </c>
      <c r="B9" s="7">
        <f>C9/12</f>
        <v>32967</v>
      </c>
      <c r="C9" s="1">
        <v>395604</v>
      </c>
    </row>
    <row r="10" spans="1:3" ht="15.75">
      <c r="A10" s="1" t="s">
        <v>31</v>
      </c>
      <c r="B10" s="7">
        <f t="shared" ref="B10:B28" si="0">C10/12</f>
        <v>567.5</v>
      </c>
      <c r="C10" s="1">
        <v>6810</v>
      </c>
    </row>
    <row r="11" spans="1:3" ht="15.75">
      <c r="A11" s="6" t="s">
        <v>17</v>
      </c>
      <c r="B11" s="7">
        <f t="shared" si="0"/>
        <v>33534.5</v>
      </c>
      <c r="C11" s="6">
        <f>SUM(C9:C10)</f>
        <v>402414</v>
      </c>
    </row>
    <row r="12" spans="1:3" ht="15.75">
      <c r="A12" s="1" t="s">
        <v>18</v>
      </c>
      <c r="B12" s="7">
        <f t="shared" si="0"/>
        <v>0</v>
      </c>
      <c r="C12" s="1"/>
    </row>
    <row r="13" spans="1:3" ht="15.75">
      <c r="A13" s="1" t="s">
        <v>25</v>
      </c>
      <c r="B13" s="7">
        <f t="shared" si="0"/>
        <v>9884.6433333333334</v>
      </c>
      <c r="C13" s="1">
        <f>96928.52+21687.2</f>
        <v>118615.72</v>
      </c>
    </row>
    <row r="14" spans="1:3" ht="15.75">
      <c r="A14" s="1" t="s">
        <v>32</v>
      </c>
      <c r="B14" s="7">
        <f t="shared" si="0"/>
        <v>10338.8225</v>
      </c>
      <c r="C14" s="1">
        <f>44776.51+79289.36</f>
        <v>124065.87</v>
      </c>
    </row>
    <row r="15" spans="1:3" ht="15.75">
      <c r="A15" s="1" t="s">
        <v>5</v>
      </c>
      <c r="B15" s="7">
        <f t="shared" si="0"/>
        <v>0</v>
      </c>
      <c r="C15" s="1"/>
    </row>
    <row r="16" spans="1:3" ht="15.75">
      <c r="A16" s="1" t="s">
        <v>6</v>
      </c>
      <c r="B16" s="7">
        <f t="shared" si="0"/>
        <v>7070.5625</v>
      </c>
      <c r="C16" s="1">
        <v>84846.75</v>
      </c>
    </row>
    <row r="17" spans="1:3" ht="15.75">
      <c r="A17" s="1" t="s">
        <v>7</v>
      </c>
      <c r="B17" s="7">
        <f t="shared" si="0"/>
        <v>1286.73</v>
      </c>
      <c r="C17" s="1">
        <v>15440.76</v>
      </c>
    </row>
    <row r="18" spans="1:3" ht="15.75">
      <c r="A18" s="1" t="s">
        <v>8</v>
      </c>
      <c r="B18" s="7">
        <f t="shared" si="0"/>
        <v>137.52000000000001</v>
      </c>
      <c r="C18" s="1">
        <v>1650.24</v>
      </c>
    </row>
    <row r="19" spans="1:3" ht="15.75">
      <c r="A19" s="1" t="s">
        <v>9</v>
      </c>
      <c r="B19" s="7">
        <f t="shared" si="0"/>
        <v>0</v>
      </c>
      <c r="C19" s="1"/>
    </row>
    <row r="20" spans="1:3" ht="15.75">
      <c r="A20" s="1" t="s">
        <v>10</v>
      </c>
      <c r="B20" s="7">
        <f t="shared" si="0"/>
        <v>1497.1066666666666</v>
      </c>
      <c r="C20" s="1">
        <v>17965.28</v>
      </c>
    </row>
    <row r="21" spans="1:3" ht="15.75">
      <c r="A21" s="1" t="s">
        <v>11</v>
      </c>
      <c r="B21" s="7">
        <f t="shared" si="0"/>
        <v>1636.6216666666667</v>
      </c>
      <c r="C21" s="1">
        <v>19639.46</v>
      </c>
    </row>
    <row r="22" spans="1:3" ht="15.75">
      <c r="A22" s="1" t="s">
        <v>12</v>
      </c>
      <c r="B22" s="7">
        <f t="shared" si="0"/>
        <v>2824.2641666666664</v>
      </c>
      <c r="C22" s="1">
        <v>33891.17</v>
      </c>
    </row>
    <row r="23" spans="1:3" ht="15.75">
      <c r="A23" s="1" t="s">
        <v>13</v>
      </c>
      <c r="B23" s="7">
        <f t="shared" si="0"/>
        <v>0</v>
      </c>
      <c r="C23" s="1"/>
    </row>
    <row r="24" spans="1:3" ht="15.75">
      <c r="A24" s="1" t="s">
        <v>14</v>
      </c>
      <c r="B24" s="7">
        <f t="shared" si="0"/>
        <v>1744.3325000000002</v>
      </c>
      <c r="C24" s="1">
        <v>20931.990000000002</v>
      </c>
    </row>
    <row r="25" spans="1:3" ht="15.75">
      <c r="A25" s="1" t="s">
        <v>29</v>
      </c>
      <c r="B25" s="7">
        <f t="shared" si="0"/>
        <v>0</v>
      </c>
      <c r="C25" s="1"/>
    </row>
    <row r="26" spans="1:3" ht="15.75">
      <c r="A26" s="1" t="s">
        <v>19</v>
      </c>
      <c r="B26" s="7">
        <f t="shared" si="0"/>
        <v>2129.4408333333336</v>
      </c>
      <c r="C26" s="1">
        <v>25553.29</v>
      </c>
    </row>
    <row r="27" spans="1:3" ht="15.75">
      <c r="A27" s="1" t="s">
        <v>78</v>
      </c>
      <c r="B27" s="7">
        <f t="shared" si="0"/>
        <v>8273.9724999999999</v>
      </c>
      <c r="C27" s="1">
        <v>99287.67</v>
      </c>
    </row>
    <row r="28" spans="1:3" ht="15.75">
      <c r="A28" s="6" t="s">
        <v>79</v>
      </c>
      <c r="B28" s="7">
        <f t="shared" si="0"/>
        <v>46824.016666666663</v>
      </c>
      <c r="C28" s="6">
        <f>SUM(C13:C27)</f>
        <v>561888.19999999995</v>
      </c>
    </row>
    <row r="29" spans="1:3" ht="15.75">
      <c r="A29" s="6" t="s">
        <v>80</v>
      </c>
      <c r="B29" s="7"/>
      <c r="C29" s="6"/>
    </row>
    <row r="30" spans="1:3" ht="15.75">
      <c r="A30" s="6" t="s">
        <v>81</v>
      </c>
      <c r="B30" s="1"/>
      <c r="C30" s="6">
        <v>168380.6</v>
      </c>
    </row>
    <row r="31" spans="1:3" ht="15.75">
      <c r="A31" s="1" t="s">
        <v>33</v>
      </c>
      <c r="B31" s="6">
        <v>279092.40999999997</v>
      </c>
      <c r="C31" s="1"/>
    </row>
    <row r="32" spans="1:3" ht="15.75">
      <c r="A32" s="1" t="s">
        <v>22</v>
      </c>
      <c r="B32" s="1"/>
      <c r="C32" s="1"/>
    </row>
    <row r="33" spans="1:2" ht="15.75">
      <c r="A33" s="1" t="s">
        <v>23</v>
      </c>
    </row>
    <row r="34" spans="1:2" ht="18.75">
      <c r="A34" s="1" t="s">
        <v>82</v>
      </c>
      <c r="B34" s="14">
        <v>62996.9</v>
      </c>
    </row>
    <row r="36" spans="1:2" ht="15.75">
      <c r="A36" s="10" t="s">
        <v>73</v>
      </c>
    </row>
    <row r="38" spans="1:2">
      <c r="A38" t="s">
        <v>75</v>
      </c>
    </row>
    <row r="39" spans="1:2">
      <c r="A39" t="s">
        <v>74</v>
      </c>
    </row>
    <row r="41" spans="1:2">
      <c r="A41" t="s">
        <v>76</v>
      </c>
    </row>
  </sheetData>
  <pageMargins left="0.7" right="0.7" top="0.75" bottom="0.75" header="0.3" footer="0.3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41"/>
  <sheetViews>
    <sheetView topLeftCell="A19" workbookViewId="0">
      <selection activeCell="F11" sqref="F11"/>
    </sheetView>
  </sheetViews>
  <sheetFormatPr defaultRowHeight="15"/>
  <cols>
    <col min="1" max="1" width="58.140625" customWidth="1"/>
    <col min="2" max="2" width="13.5703125" customWidth="1"/>
    <col min="3" max="3" width="14.28515625" customWidth="1"/>
  </cols>
  <sheetData>
    <row r="1" spans="1:3" ht="15.75">
      <c r="A1" s="1" t="s">
        <v>0</v>
      </c>
    </row>
    <row r="2" spans="1:3" ht="15.75">
      <c r="A2" s="1" t="s">
        <v>112</v>
      </c>
      <c r="B2" s="1"/>
      <c r="C2" s="1"/>
    </row>
    <row r="3" spans="1:3" ht="15.75">
      <c r="A3" s="1" t="s">
        <v>92</v>
      </c>
      <c r="B3" s="1"/>
      <c r="C3" s="1"/>
    </row>
    <row r="4" spans="1:3" ht="15.75">
      <c r="A4" s="1" t="s">
        <v>28</v>
      </c>
      <c r="B4" s="1"/>
      <c r="C4" s="1"/>
    </row>
    <row r="5" spans="1:3" ht="15.75">
      <c r="A5" s="1" t="s">
        <v>77</v>
      </c>
      <c r="B5" s="1"/>
      <c r="C5" s="1"/>
    </row>
    <row r="6" spans="1:3" ht="15.75">
      <c r="A6" s="1"/>
      <c r="B6" s="1"/>
      <c r="C6" s="1"/>
    </row>
    <row r="7" spans="1:3" ht="15.75">
      <c r="A7" s="1" t="s">
        <v>1</v>
      </c>
      <c r="B7" s="1" t="s">
        <v>2</v>
      </c>
      <c r="C7" s="1" t="s">
        <v>3</v>
      </c>
    </row>
    <row r="8" spans="1:3" ht="15.75">
      <c r="A8" s="1" t="s">
        <v>138</v>
      </c>
      <c r="B8" s="2"/>
      <c r="C8" s="6">
        <v>-24141.77</v>
      </c>
    </row>
    <row r="9" spans="1:3" ht="15.75">
      <c r="A9" s="1" t="s">
        <v>4</v>
      </c>
      <c r="B9" s="7">
        <f>C9/12</f>
        <v>38728.400000000001</v>
      </c>
      <c r="C9" s="1">
        <v>464740.8</v>
      </c>
    </row>
    <row r="10" spans="1:3" ht="15.75">
      <c r="A10" s="1" t="s">
        <v>31</v>
      </c>
      <c r="B10" s="7">
        <f t="shared" ref="B10:B28" si="0">C10/12</f>
        <v>1325.3174999999999</v>
      </c>
      <c r="C10" s="1">
        <v>15903.81</v>
      </c>
    </row>
    <row r="11" spans="1:3" ht="15.75">
      <c r="A11" s="6" t="s">
        <v>17</v>
      </c>
      <c r="B11" s="7">
        <f t="shared" si="0"/>
        <v>40053.717499999999</v>
      </c>
      <c r="C11" s="6">
        <f>SUM(C9:C10)</f>
        <v>480644.61</v>
      </c>
    </row>
    <row r="12" spans="1:3" ht="15.75">
      <c r="A12" s="1" t="s">
        <v>18</v>
      </c>
      <c r="B12" s="7">
        <f t="shared" si="0"/>
        <v>0</v>
      </c>
      <c r="C12" s="1"/>
    </row>
    <row r="13" spans="1:3" ht="15.75">
      <c r="A13" s="1" t="s">
        <v>25</v>
      </c>
      <c r="B13" s="7">
        <f t="shared" si="0"/>
        <v>10771.184166666666</v>
      </c>
      <c r="C13" s="1">
        <f>105621.9+23632.31</f>
        <v>129254.20999999999</v>
      </c>
    </row>
    <row r="14" spans="1:3" ht="15.75">
      <c r="A14" s="1" t="s">
        <v>32</v>
      </c>
      <c r="B14" s="7">
        <f t="shared" si="0"/>
        <v>14145.624166666666</v>
      </c>
      <c r="C14" s="1">
        <f>55411.39+114336.1</f>
        <v>169747.49</v>
      </c>
    </row>
    <row r="15" spans="1:3" ht="15.75">
      <c r="A15" s="1" t="s">
        <v>5</v>
      </c>
      <c r="B15" s="7">
        <f t="shared" si="0"/>
        <v>0</v>
      </c>
      <c r="C15" s="1"/>
    </row>
    <row r="16" spans="1:3" ht="15.75">
      <c r="A16" s="1" t="s">
        <v>6</v>
      </c>
      <c r="B16" s="7">
        <f t="shared" si="0"/>
        <v>1395.3333333333333</v>
      </c>
      <c r="C16" s="1">
        <v>16744</v>
      </c>
    </row>
    <row r="17" spans="1:3" ht="15.75">
      <c r="A17" s="1" t="s">
        <v>7</v>
      </c>
      <c r="B17" s="7">
        <f t="shared" si="0"/>
        <v>1450.1499999999999</v>
      </c>
      <c r="C17" s="1">
        <v>17401.8</v>
      </c>
    </row>
    <row r="18" spans="1:3" ht="15.75">
      <c r="A18" s="1" t="s">
        <v>8</v>
      </c>
      <c r="B18" s="7">
        <f t="shared" si="0"/>
        <v>178.62</v>
      </c>
      <c r="C18" s="1">
        <v>2143.44</v>
      </c>
    </row>
    <row r="19" spans="1:3" ht="15.75">
      <c r="A19" s="1" t="s">
        <v>9</v>
      </c>
      <c r="B19" s="7">
        <f t="shared" si="0"/>
        <v>0</v>
      </c>
      <c r="C19" s="1"/>
    </row>
    <row r="20" spans="1:3" ht="15.75">
      <c r="A20" s="1" t="s">
        <v>10</v>
      </c>
      <c r="B20" s="7">
        <f t="shared" si="0"/>
        <v>653.80000000000007</v>
      </c>
      <c r="C20" s="1">
        <v>7845.6</v>
      </c>
    </row>
    <row r="21" spans="1:3" ht="15.75">
      <c r="A21" s="1" t="s">
        <v>11</v>
      </c>
      <c r="B21" s="7">
        <f t="shared" si="0"/>
        <v>1925.61</v>
      </c>
      <c r="C21" s="1">
        <v>23107.32</v>
      </c>
    </row>
    <row r="22" spans="1:3" ht="15.75">
      <c r="A22" s="1" t="s">
        <v>12</v>
      </c>
      <c r="B22" s="7">
        <f t="shared" si="0"/>
        <v>3077.5699999999997</v>
      </c>
      <c r="C22" s="1">
        <v>36930.839999999997</v>
      </c>
    </row>
    <row r="23" spans="1:3" ht="15.75">
      <c r="A23" s="1" t="s">
        <v>13</v>
      </c>
      <c r="B23" s="7">
        <f t="shared" si="0"/>
        <v>45.235000000000007</v>
      </c>
      <c r="C23" s="1">
        <v>542.82000000000005</v>
      </c>
    </row>
    <row r="24" spans="1:3" ht="15.75">
      <c r="A24" s="1" t="s">
        <v>14</v>
      </c>
      <c r="B24" s="7">
        <f t="shared" si="0"/>
        <v>2083.4358333333334</v>
      </c>
      <c r="C24" s="1">
        <v>25001.23</v>
      </c>
    </row>
    <row r="25" spans="1:3" ht="15.75">
      <c r="A25" s="1" t="s">
        <v>29</v>
      </c>
      <c r="B25" s="7">
        <f t="shared" si="0"/>
        <v>200.77833333333334</v>
      </c>
      <c r="C25" s="1">
        <v>2409.34</v>
      </c>
    </row>
    <row r="26" spans="1:3" ht="15.75">
      <c r="A26" s="1" t="s">
        <v>19</v>
      </c>
      <c r="B26" s="7">
        <f t="shared" si="0"/>
        <v>52.570833333333333</v>
      </c>
      <c r="C26" s="1">
        <v>630.85</v>
      </c>
    </row>
    <row r="27" spans="1:3" ht="15.75">
      <c r="A27" s="1" t="s">
        <v>78</v>
      </c>
      <c r="B27" s="7">
        <f t="shared" si="0"/>
        <v>9154.5508333333328</v>
      </c>
      <c r="C27" s="1">
        <v>109854.61</v>
      </c>
    </row>
    <row r="28" spans="1:3" ht="15.75">
      <c r="A28" s="6" t="s">
        <v>79</v>
      </c>
      <c r="B28" s="7">
        <f t="shared" si="0"/>
        <v>45134.462499999994</v>
      </c>
      <c r="C28" s="6">
        <f>SUM(C13:C27)</f>
        <v>541613.54999999993</v>
      </c>
    </row>
    <row r="29" spans="1:3" ht="15.75">
      <c r="A29" s="6" t="s">
        <v>80</v>
      </c>
      <c r="B29" s="7"/>
      <c r="C29" s="6"/>
    </row>
    <row r="30" spans="1:3" ht="15.75">
      <c r="A30" s="6" t="s">
        <v>81</v>
      </c>
      <c r="B30" s="1"/>
      <c r="C30" s="6">
        <v>85110.71</v>
      </c>
    </row>
    <row r="31" spans="1:3" ht="15.75">
      <c r="A31" s="1" t="s">
        <v>33</v>
      </c>
      <c r="B31" s="6">
        <v>116035.2</v>
      </c>
      <c r="C31" s="1"/>
    </row>
    <row r="32" spans="1:3" ht="15.75">
      <c r="A32" s="1" t="s">
        <v>22</v>
      </c>
      <c r="B32" s="1"/>
      <c r="C32" s="1"/>
    </row>
    <row r="33" spans="1:2" ht="15.75">
      <c r="A33" s="1" t="s">
        <v>23</v>
      </c>
    </row>
    <row r="34" spans="1:2" ht="18.75">
      <c r="A34" s="1" t="s">
        <v>137</v>
      </c>
      <c r="B34" s="14">
        <v>29207</v>
      </c>
    </row>
    <row r="36" spans="1:2" ht="15.75">
      <c r="A36" s="10" t="s">
        <v>73</v>
      </c>
    </row>
    <row r="38" spans="1:2">
      <c r="A38" t="s">
        <v>75</v>
      </c>
    </row>
    <row r="39" spans="1:2">
      <c r="A39" t="s">
        <v>74</v>
      </c>
    </row>
    <row r="41" spans="1:2">
      <c r="A41" t="s">
        <v>76</v>
      </c>
    </row>
  </sheetData>
  <pageMargins left="0.7" right="0.7" top="0.75" bottom="0.75" header="0.3" footer="0.3"/>
  <pageSetup paperSize="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41"/>
  <sheetViews>
    <sheetView topLeftCell="A28" workbookViewId="0">
      <selection activeCell="D32" sqref="D32"/>
    </sheetView>
  </sheetViews>
  <sheetFormatPr defaultRowHeight="15"/>
  <cols>
    <col min="1" max="1" width="58.42578125" customWidth="1"/>
    <col min="2" max="2" width="13.140625" customWidth="1"/>
    <col min="3" max="3" width="14" customWidth="1"/>
  </cols>
  <sheetData>
    <row r="1" spans="1:3" ht="15.75">
      <c r="A1" s="1" t="s">
        <v>0</v>
      </c>
    </row>
    <row r="2" spans="1:3" ht="15.75">
      <c r="A2" s="1" t="s">
        <v>113</v>
      </c>
      <c r="B2" s="1"/>
      <c r="C2" s="1"/>
    </row>
    <row r="3" spans="1:3" ht="15.75">
      <c r="A3" s="1" t="s">
        <v>92</v>
      </c>
      <c r="B3" s="1"/>
      <c r="C3" s="1"/>
    </row>
    <row r="4" spans="1:3" ht="15.75">
      <c r="A4" s="1" t="s">
        <v>28</v>
      </c>
      <c r="B4" s="1"/>
      <c r="C4" s="1"/>
    </row>
    <row r="5" spans="1:3" ht="15.75">
      <c r="A5" s="1" t="s">
        <v>77</v>
      </c>
      <c r="B5" s="1"/>
      <c r="C5" s="1"/>
    </row>
    <row r="6" spans="1:3" ht="15.75">
      <c r="A6" s="1"/>
      <c r="B6" s="1"/>
      <c r="C6" s="1"/>
    </row>
    <row r="7" spans="1:3" ht="15.75">
      <c r="A7" s="1" t="s">
        <v>1</v>
      </c>
      <c r="B7" s="1" t="s">
        <v>2</v>
      </c>
      <c r="C7" s="1" t="s">
        <v>3</v>
      </c>
    </row>
    <row r="8" spans="1:3" ht="15.75">
      <c r="A8" s="1" t="s">
        <v>138</v>
      </c>
      <c r="B8" s="2"/>
      <c r="C8" s="6">
        <v>-16489.14</v>
      </c>
    </row>
    <row r="9" spans="1:3" ht="15.75">
      <c r="A9" s="1" t="s">
        <v>4</v>
      </c>
      <c r="B9" s="7">
        <f>C9/12</f>
        <v>40609.241666666669</v>
      </c>
      <c r="C9" s="1">
        <v>487310.9</v>
      </c>
    </row>
    <row r="10" spans="1:3" ht="15.75">
      <c r="A10" s="1" t="s">
        <v>31</v>
      </c>
      <c r="B10" s="7">
        <f t="shared" ref="B10:B28" si="0">C10/12</f>
        <v>833.33333333333337</v>
      </c>
      <c r="C10" s="1">
        <v>10000</v>
      </c>
    </row>
    <row r="11" spans="1:3" ht="15.75">
      <c r="A11" s="6" t="s">
        <v>17</v>
      </c>
      <c r="B11" s="7">
        <f t="shared" si="0"/>
        <v>41442.575000000004</v>
      </c>
      <c r="C11" s="6">
        <f>SUM(C9:C10)</f>
        <v>497310.9</v>
      </c>
    </row>
    <row r="12" spans="1:3" ht="15.75">
      <c r="A12" s="1" t="s">
        <v>18</v>
      </c>
      <c r="B12" s="7">
        <f t="shared" si="0"/>
        <v>0</v>
      </c>
      <c r="C12" s="1"/>
    </row>
    <row r="13" spans="1:3" ht="15.75">
      <c r="A13" s="1" t="s">
        <v>25</v>
      </c>
      <c r="B13" s="7">
        <f t="shared" si="0"/>
        <v>10683.013333333334</v>
      </c>
      <c r="C13" s="1">
        <f>104757.3+23438.86</f>
        <v>128196.16</v>
      </c>
    </row>
    <row r="14" spans="1:3" ht="15.75">
      <c r="A14" s="1" t="s">
        <v>32</v>
      </c>
      <c r="B14" s="7">
        <f t="shared" si="0"/>
        <v>11246.435833333335</v>
      </c>
      <c r="C14" s="1">
        <f>50359.82+84597.41</f>
        <v>134957.23000000001</v>
      </c>
    </row>
    <row r="15" spans="1:3" ht="15.75">
      <c r="A15" s="1" t="s">
        <v>5</v>
      </c>
      <c r="B15" s="7">
        <f t="shared" si="0"/>
        <v>0</v>
      </c>
      <c r="C15" s="1"/>
    </row>
    <row r="16" spans="1:3" ht="15.75">
      <c r="A16" s="1" t="s">
        <v>6</v>
      </c>
      <c r="B16" s="7">
        <f t="shared" si="0"/>
        <v>2116.8333333333335</v>
      </c>
      <c r="C16" s="1">
        <v>25402</v>
      </c>
    </row>
    <row r="17" spans="1:3" ht="15.75">
      <c r="A17" s="1" t="s">
        <v>7</v>
      </c>
      <c r="B17" s="7">
        <f t="shared" si="0"/>
        <v>1460.7700000000002</v>
      </c>
      <c r="C17" s="1">
        <v>17529.240000000002</v>
      </c>
    </row>
    <row r="18" spans="1:3" ht="15.75">
      <c r="A18" s="1" t="s">
        <v>8</v>
      </c>
      <c r="B18" s="7">
        <f t="shared" si="0"/>
        <v>176.32000000000002</v>
      </c>
      <c r="C18" s="1">
        <v>2115.84</v>
      </c>
    </row>
    <row r="19" spans="1:3" ht="15.75">
      <c r="A19" s="1" t="s">
        <v>9</v>
      </c>
      <c r="B19" s="7">
        <f t="shared" si="0"/>
        <v>0</v>
      </c>
      <c r="C19" s="1"/>
    </row>
    <row r="20" spans="1:3" ht="15.75">
      <c r="A20" s="1" t="s">
        <v>10</v>
      </c>
      <c r="B20" s="7">
        <f t="shared" si="0"/>
        <v>710.65166666666664</v>
      </c>
      <c r="C20" s="1">
        <v>8527.82</v>
      </c>
    </row>
    <row r="21" spans="1:3" ht="15.75">
      <c r="A21" s="1" t="s">
        <v>11</v>
      </c>
      <c r="B21" s="7">
        <f t="shared" si="0"/>
        <v>2019.6075000000001</v>
      </c>
      <c r="C21" s="1">
        <v>24235.29</v>
      </c>
    </row>
    <row r="22" spans="1:3" ht="15.75">
      <c r="A22" s="1" t="s">
        <v>12</v>
      </c>
      <c r="B22" s="7">
        <f t="shared" si="0"/>
        <v>3052.3775000000001</v>
      </c>
      <c r="C22" s="1">
        <v>36628.53</v>
      </c>
    </row>
    <row r="23" spans="1:3" ht="15.75">
      <c r="A23" s="1" t="s">
        <v>13</v>
      </c>
      <c r="B23" s="7">
        <f t="shared" si="0"/>
        <v>116.4875</v>
      </c>
      <c r="C23" s="1">
        <v>1397.85</v>
      </c>
    </row>
    <row r="24" spans="1:3" ht="15.75">
      <c r="A24" s="1" t="s">
        <v>14</v>
      </c>
      <c r="B24" s="7">
        <f t="shared" si="0"/>
        <v>2155.6791666666668</v>
      </c>
      <c r="C24" s="1">
        <v>25868.15</v>
      </c>
    </row>
    <row r="25" spans="1:3" ht="15.75">
      <c r="A25" s="1" t="s">
        <v>29</v>
      </c>
      <c r="B25" s="7">
        <f t="shared" si="0"/>
        <v>230.50416666666669</v>
      </c>
      <c r="C25" s="1">
        <v>2766.05</v>
      </c>
    </row>
    <row r="26" spans="1:3" ht="15.75">
      <c r="A26" s="1" t="s">
        <v>19</v>
      </c>
      <c r="B26" s="7">
        <f t="shared" si="0"/>
        <v>52.570833333333333</v>
      </c>
      <c r="C26" s="1">
        <v>630.85</v>
      </c>
    </row>
    <row r="27" spans="1:3" ht="15.75">
      <c r="A27" s="1" t="s">
        <v>78</v>
      </c>
      <c r="B27" s="7">
        <f t="shared" si="0"/>
        <v>9393.0741666666672</v>
      </c>
      <c r="C27" s="1">
        <v>112716.89</v>
      </c>
    </row>
    <row r="28" spans="1:3" ht="15.75">
      <c r="A28" s="6" t="s">
        <v>79</v>
      </c>
      <c r="B28" s="7">
        <f t="shared" si="0"/>
        <v>43414.324999999997</v>
      </c>
      <c r="C28" s="6">
        <f>SUM(C13:C27)</f>
        <v>520971.89999999997</v>
      </c>
    </row>
    <row r="29" spans="1:3" ht="15.75">
      <c r="A29" s="6" t="s">
        <v>80</v>
      </c>
      <c r="B29" s="7"/>
      <c r="C29" s="6"/>
    </row>
    <row r="30" spans="1:3" ht="15.75">
      <c r="A30" s="6" t="s">
        <v>81</v>
      </c>
      <c r="B30" s="1"/>
      <c r="C30" s="6">
        <v>40150.14</v>
      </c>
    </row>
    <row r="31" spans="1:3" ht="15.75">
      <c r="A31" s="1" t="s">
        <v>33</v>
      </c>
      <c r="B31" s="6">
        <v>3034.18</v>
      </c>
      <c r="C31" s="1"/>
    </row>
    <row r="32" spans="1:3" ht="15.75">
      <c r="A32" s="1" t="s">
        <v>22</v>
      </c>
      <c r="B32" s="1"/>
      <c r="C32" s="1"/>
    </row>
    <row r="33" spans="1:2" ht="15.75">
      <c r="A33" s="1" t="s">
        <v>23</v>
      </c>
    </row>
    <row r="34" spans="1:2" ht="18.75">
      <c r="A34" s="1" t="s">
        <v>137</v>
      </c>
      <c r="B34" s="14">
        <v>43266.7</v>
      </c>
    </row>
    <row r="35" spans="1:2" ht="24" customHeight="1"/>
    <row r="36" spans="1:2" ht="15.75">
      <c r="A36" s="10" t="s">
        <v>73</v>
      </c>
    </row>
    <row r="37" spans="1:2" ht="38.25" customHeight="1"/>
    <row r="38" spans="1:2">
      <c r="A38" t="s">
        <v>75</v>
      </c>
    </row>
    <row r="39" spans="1:2">
      <c r="A39" t="s">
        <v>74</v>
      </c>
    </row>
    <row r="41" spans="1:2">
      <c r="A41" t="s">
        <v>76</v>
      </c>
    </row>
  </sheetData>
  <pageMargins left="0.7" right="0.7" top="0.75" bottom="0.75" header="0.3" footer="0.3"/>
  <pageSetup paperSize="9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41"/>
  <sheetViews>
    <sheetView workbookViewId="0">
      <selection activeCell="F11" sqref="F11"/>
    </sheetView>
  </sheetViews>
  <sheetFormatPr defaultRowHeight="15"/>
  <cols>
    <col min="1" max="1" width="58.28515625" customWidth="1"/>
    <col min="2" max="2" width="13.140625" customWidth="1"/>
    <col min="3" max="3" width="14.140625" customWidth="1"/>
  </cols>
  <sheetData>
    <row r="1" spans="1:3" ht="15.75">
      <c r="A1" s="1" t="s">
        <v>0</v>
      </c>
    </row>
    <row r="2" spans="1:3" ht="15.75">
      <c r="A2" s="1" t="s">
        <v>114</v>
      </c>
      <c r="B2" s="1"/>
      <c r="C2" s="1"/>
    </row>
    <row r="3" spans="1:3" ht="15.75">
      <c r="A3" s="1" t="s">
        <v>92</v>
      </c>
      <c r="B3" s="1"/>
      <c r="C3" s="1"/>
    </row>
    <row r="4" spans="1:3" ht="15.75">
      <c r="A4" s="1" t="s">
        <v>28</v>
      </c>
      <c r="B4" s="1"/>
      <c r="C4" s="1"/>
    </row>
    <row r="5" spans="1:3" ht="15.75">
      <c r="A5" s="1" t="s">
        <v>77</v>
      </c>
      <c r="B5" s="1"/>
      <c r="C5" s="1"/>
    </row>
    <row r="6" spans="1:3" ht="15.75">
      <c r="A6" s="1"/>
      <c r="B6" s="1"/>
      <c r="C6" s="1"/>
    </row>
    <row r="7" spans="1:3" ht="15.75">
      <c r="A7" s="1" t="s">
        <v>1</v>
      </c>
      <c r="B7" s="1" t="s">
        <v>2</v>
      </c>
      <c r="C7" s="1" t="s">
        <v>3</v>
      </c>
    </row>
    <row r="8" spans="1:3" ht="15.75">
      <c r="A8" s="1" t="s">
        <v>138</v>
      </c>
      <c r="B8" s="2"/>
      <c r="C8" s="6">
        <v>-7124.51</v>
      </c>
    </row>
    <row r="9" spans="1:3" ht="15.75">
      <c r="A9" s="1" t="s">
        <v>4</v>
      </c>
      <c r="B9" s="7">
        <f>C9/12</f>
        <v>56472.65</v>
      </c>
      <c r="C9" s="1">
        <v>677671.8</v>
      </c>
    </row>
    <row r="10" spans="1:3" ht="15.75">
      <c r="A10" s="1" t="s">
        <v>31</v>
      </c>
      <c r="B10" s="7">
        <f t="shared" ref="B10:B28" si="0">C10/12</f>
        <v>1573.3333333333333</v>
      </c>
      <c r="C10" s="1">
        <v>18880</v>
      </c>
    </row>
    <row r="11" spans="1:3" ht="15.75">
      <c r="A11" s="6" t="s">
        <v>17</v>
      </c>
      <c r="B11" s="7">
        <f t="shared" si="0"/>
        <v>58045.983333333337</v>
      </c>
      <c r="C11" s="6">
        <f>SUM(C9:C10)</f>
        <v>696551.8</v>
      </c>
    </row>
    <row r="12" spans="1:3" ht="15.75">
      <c r="A12" s="1" t="s">
        <v>18</v>
      </c>
      <c r="B12" s="7">
        <f t="shared" si="0"/>
        <v>0</v>
      </c>
      <c r="C12" s="1"/>
    </row>
    <row r="13" spans="1:3" ht="15.75">
      <c r="A13" s="1" t="s">
        <v>25</v>
      </c>
      <c r="B13" s="7">
        <f t="shared" si="0"/>
        <v>12035.615833333331</v>
      </c>
      <c r="C13" s="1">
        <f>118020.9+26406.49</f>
        <v>144427.38999999998</v>
      </c>
    </row>
    <row r="14" spans="1:3" ht="15.75">
      <c r="A14" s="1" t="s">
        <v>32</v>
      </c>
      <c r="B14" s="7">
        <f t="shared" si="0"/>
        <v>10676.489166666666</v>
      </c>
      <c r="C14" s="1">
        <f>56199.84+71918.03</f>
        <v>128117.87</v>
      </c>
    </row>
    <row r="15" spans="1:3" ht="15.75">
      <c r="A15" s="1" t="s">
        <v>5</v>
      </c>
      <c r="B15" s="7">
        <f t="shared" si="0"/>
        <v>5048.6400000000003</v>
      </c>
      <c r="C15" s="1">
        <v>60583.68</v>
      </c>
    </row>
    <row r="16" spans="1:3" ht="15.75">
      <c r="A16" s="1" t="s">
        <v>6</v>
      </c>
      <c r="B16" s="7">
        <f t="shared" si="0"/>
        <v>2452.75</v>
      </c>
      <c r="C16" s="1">
        <v>29433</v>
      </c>
    </row>
    <row r="17" spans="1:3" ht="15.75">
      <c r="A17" s="1" t="s">
        <v>7</v>
      </c>
      <c r="B17" s="7">
        <f t="shared" si="0"/>
        <v>1647.5550000000001</v>
      </c>
      <c r="C17" s="1">
        <v>19770.66</v>
      </c>
    </row>
    <row r="18" spans="1:3" ht="15.75">
      <c r="A18" s="1" t="s">
        <v>8</v>
      </c>
      <c r="B18" s="7">
        <f t="shared" si="0"/>
        <v>316.63166666666666</v>
      </c>
      <c r="C18" s="1">
        <v>3799.58</v>
      </c>
    </row>
    <row r="19" spans="1:3" ht="15.75">
      <c r="A19" s="1" t="s">
        <v>9</v>
      </c>
      <c r="B19" s="7">
        <f t="shared" si="0"/>
        <v>7724.97</v>
      </c>
      <c r="C19" s="1">
        <v>92699.64</v>
      </c>
    </row>
    <row r="20" spans="1:3" ht="15.75">
      <c r="A20" s="1" t="s">
        <v>10</v>
      </c>
      <c r="B20" s="7">
        <f t="shared" si="0"/>
        <v>691.70083333333332</v>
      </c>
      <c r="C20" s="1">
        <v>8300.41</v>
      </c>
    </row>
    <row r="21" spans="1:3" ht="15.75">
      <c r="A21" s="1" t="s">
        <v>11</v>
      </c>
      <c r="B21" s="7">
        <f t="shared" si="0"/>
        <v>2808.1791666666668</v>
      </c>
      <c r="C21" s="1">
        <v>33698.15</v>
      </c>
    </row>
    <row r="22" spans="1:3" ht="15.75">
      <c r="A22" s="1" t="s">
        <v>12</v>
      </c>
      <c r="B22" s="7">
        <f t="shared" si="0"/>
        <v>3438.8441666666663</v>
      </c>
      <c r="C22" s="1">
        <v>41266.129999999997</v>
      </c>
    </row>
    <row r="23" spans="1:3" ht="15.75">
      <c r="A23" s="1" t="s">
        <v>13</v>
      </c>
      <c r="B23" s="7">
        <f t="shared" si="0"/>
        <v>84.921666666666667</v>
      </c>
      <c r="C23" s="1">
        <v>1019.06</v>
      </c>
    </row>
    <row r="24" spans="1:3" ht="15.75">
      <c r="A24" s="1" t="s">
        <v>14</v>
      </c>
      <c r="B24" s="7">
        <f t="shared" si="0"/>
        <v>3019.3225000000002</v>
      </c>
      <c r="C24" s="1">
        <v>36231.870000000003</v>
      </c>
    </row>
    <row r="25" spans="1:3" ht="15.75">
      <c r="A25" s="1" t="s">
        <v>29</v>
      </c>
      <c r="B25" s="7">
        <f t="shared" si="0"/>
        <v>122.15166666666666</v>
      </c>
      <c r="C25" s="1">
        <v>1465.82</v>
      </c>
    </row>
    <row r="26" spans="1:3" ht="15.75">
      <c r="A26" s="1" t="s">
        <v>19</v>
      </c>
      <c r="B26" s="7">
        <f t="shared" si="0"/>
        <v>796.59499999999991</v>
      </c>
      <c r="C26" s="1">
        <v>9559.14</v>
      </c>
    </row>
    <row r="27" spans="1:3" ht="15.75">
      <c r="A27" s="1" t="s">
        <v>78</v>
      </c>
      <c r="B27" s="7">
        <f t="shared" si="0"/>
        <v>10594.160833333333</v>
      </c>
      <c r="C27" s="1">
        <v>127129.93</v>
      </c>
    </row>
    <row r="28" spans="1:3" ht="15.75">
      <c r="A28" s="6" t="s">
        <v>79</v>
      </c>
      <c r="B28" s="7">
        <f t="shared" si="0"/>
        <v>61458.527500000004</v>
      </c>
      <c r="C28" s="6">
        <f>SUM(C13:C27)</f>
        <v>737502.33000000007</v>
      </c>
    </row>
    <row r="29" spans="1:3" ht="15.75">
      <c r="A29" s="6" t="s">
        <v>80</v>
      </c>
      <c r="B29" s="7"/>
      <c r="C29" s="6"/>
    </row>
    <row r="30" spans="1:3" ht="15.75">
      <c r="A30" s="6" t="s">
        <v>81</v>
      </c>
      <c r="B30" s="1"/>
      <c r="C30" s="6">
        <v>48075.040000000001</v>
      </c>
    </row>
    <row r="31" spans="1:3" ht="15.75">
      <c r="A31" s="1" t="s">
        <v>33</v>
      </c>
      <c r="B31" s="6">
        <v>177401.07</v>
      </c>
      <c r="C31" s="1"/>
    </row>
    <row r="32" spans="1:3" ht="15.75">
      <c r="A32" s="1" t="s">
        <v>22</v>
      </c>
      <c r="B32" s="1"/>
      <c r="C32" s="1"/>
    </row>
    <row r="33" spans="1:2" ht="15.75">
      <c r="A33" s="1" t="s">
        <v>23</v>
      </c>
    </row>
    <row r="34" spans="1:2" ht="18.75">
      <c r="A34" s="1" t="s">
        <v>137</v>
      </c>
      <c r="B34" s="14">
        <v>24073.99</v>
      </c>
    </row>
    <row r="35" spans="1:2" ht="21.75" customHeight="1"/>
    <row r="36" spans="1:2" ht="15.75">
      <c r="A36" s="10" t="s">
        <v>73</v>
      </c>
    </row>
    <row r="37" spans="1:2" ht="25.5" customHeight="1"/>
    <row r="38" spans="1:2">
      <c r="A38" t="s">
        <v>75</v>
      </c>
    </row>
    <row r="39" spans="1:2">
      <c r="A39" t="s">
        <v>74</v>
      </c>
    </row>
    <row r="41" spans="1:2">
      <c r="A41" t="s">
        <v>76</v>
      </c>
    </row>
  </sheetData>
  <pageMargins left="0.7" right="0.7" top="0.75" bottom="0.75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C41"/>
  <sheetViews>
    <sheetView topLeftCell="A8" workbookViewId="0">
      <selection activeCell="B34" sqref="B34"/>
    </sheetView>
  </sheetViews>
  <sheetFormatPr defaultRowHeight="15"/>
  <cols>
    <col min="1" max="1" width="58.5703125" customWidth="1"/>
    <col min="2" max="2" width="13.28515625" customWidth="1"/>
    <col min="3" max="3" width="14.140625" customWidth="1"/>
  </cols>
  <sheetData>
    <row r="1" spans="1:3" ht="15.75">
      <c r="A1" s="1" t="s">
        <v>0</v>
      </c>
    </row>
    <row r="2" spans="1:3" ht="15.75">
      <c r="A2" s="1" t="s">
        <v>109</v>
      </c>
      <c r="B2" s="1"/>
      <c r="C2" s="1"/>
    </row>
    <row r="3" spans="1:3" ht="15.75">
      <c r="A3" s="1" t="s">
        <v>92</v>
      </c>
      <c r="B3" s="1"/>
      <c r="C3" s="1"/>
    </row>
    <row r="4" spans="1:3" ht="15.75">
      <c r="A4" s="1" t="s">
        <v>28</v>
      </c>
      <c r="B4" s="1"/>
      <c r="C4" s="1"/>
    </row>
    <row r="5" spans="1:3" ht="15.75">
      <c r="A5" s="1" t="s">
        <v>77</v>
      </c>
      <c r="B5" s="1"/>
      <c r="C5" s="1"/>
    </row>
    <row r="6" spans="1:3" ht="15.75">
      <c r="A6" s="1"/>
      <c r="B6" s="1"/>
      <c r="C6" s="1"/>
    </row>
    <row r="7" spans="1:3" ht="15.75">
      <c r="A7" s="1" t="s">
        <v>1</v>
      </c>
      <c r="B7" s="1" t="s">
        <v>2</v>
      </c>
      <c r="C7" s="1" t="s">
        <v>3</v>
      </c>
    </row>
    <row r="8" spans="1:3" ht="15.75">
      <c r="A8" s="1" t="s">
        <v>138</v>
      </c>
      <c r="B8" s="2"/>
      <c r="C8" s="6">
        <v>-24186.080000000002</v>
      </c>
    </row>
    <row r="9" spans="1:3" ht="15.75">
      <c r="A9" s="1" t="s">
        <v>4</v>
      </c>
      <c r="B9" s="7">
        <f>C9/12</f>
        <v>33500.091666666667</v>
      </c>
      <c r="C9" s="1">
        <v>402001.1</v>
      </c>
    </row>
    <row r="10" spans="1:3" ht="15.75">
      <c r="A10" s="1" t="s">
        <v>31</v>
      </c>
      <c r="B10" s="7">
        <f t="shared" ref="B10:B28" si="0">C10/12</f>
        <v>200</v>
      </c>
      <c r="C10" s="1">
        <v>2400</v>
      </c>
    </row>
    <row r="11" spans="1:3" ht="15.75">
      <c r="A11" s="6" t="s">
        <v>17</v>
      </c>
      <c r="B11" s="7">
        <f t="shared" si="0"/>
        <v>33700.091666666667</v>
      </c>
      <c r="C11" s="6">
        <v>404401.1</v>
      </c>
    </row>
    <row r="12" spans="1:3" ht="15.75">
      <c r="A12" s="1" t="s">
        <v>18</v>
      </c>
      <c r="B12" s="7">
        <f t="shared" si="0"/>
        <v>0</v>
      </c>
      <c r="C12" s="1"/>
    </row>
    <row r="13" spans="1:3" ht="15.75">
      <c r="A13" s="1" t="s">
        <v>25</v>
      </c>
      <c r="B13" s="7">
        <f t="shared" si="0"/>
        <v>10464.063333333334</v>
      </c>
      <c r="C13" s="1">
        <f>102610.3+22958.46</f>
        <v>125568.76000000001</v>
      </c>
    </row>
    <row r="14" spans="1:3" ht="15.75">
      <c r="A14" s="1" t="s">
        <v>32</v>
      </c>
      <c r="B14" s="7">
        <f t="shared" si="0"/>
        <v>10926.044166666667</v>
      </c>
      <c r="C14" s="1">
        <f>44244.77+86867.76</f>
        <v>131112.53</v>
      </c>
    </row>
    <row r="15" spans="1:3" ht="15.75">
      <c r="A15" s="1" t="s">
        <v>5</v>
      </c>
      <c r="B15" s="7">
        <f t="shared" si="0"/>
        <v>0</v>
      </c>
      <c r="C15" s="1"/>
    </row>
    <row r="16" spans="1:3" ht="15.75">
      <c r="A16" s="1" t="s">
        <v>6</v>
      </c>
      <c r="B16" s="7">
        <f t="shared" si="0"/>
        <v>2372.5208333333335</v>
      </c>
      <c r="C16" s="1">
        <v>28470.25</v>
      </c>
    </row>
    <row r="17" spans="1:3" ht="15.75">
      <c r="A17" s="1" t="s">
        <v>7</v>
      </c>
      <c r="B17" s="7">
        <f t="shared" si="0"/>
        <v>1275.6400000000001</v>
      </c>
      <c r="C17" s="1">
        <v>15307.68</v>
      </c>
    </row>
    <row r="18" spans="1:3" ht="15.75">
      <c r="A18" s="1" t="s">
        <v>8</v>
      </c>
      <c r="B18" s="7">
        <f t="shared" si="0"/>
        <v>136.63</v>
      </c>
      <c r="C18" s="1">
        <v>1639.56</v>
      </c>
    </row>
    <row r="19" spans="1:3" ht="15.75">
      <c r="A19" s="1" t="s">
        <v>9</v>
      </c>
      <c r="B19" s="7">
        <f t="shared" si="0"/>
        <v>0</v>
      </c>
      <c r="C19" s="1"/>
    </row>
    <row r="20" spans="1:3" ht="15.75">
      <c r="A20" s="1" t="s">
        <v>10</v>
      </c>
      <c r="B20" s="7">
        <f t="shared" si="0"/>
        <v>1497.1066666666666</v>
      </c>
      <c r="C20" s="1">
        <v>17965.28</v>
      </c>
    </row>
    <row r="21" spans="1:3" ht="15.75">
      <c r="A21" s="1" t="s">
        <v>11</v>
      </c>
      <c r="B21" s="7">
        <f t="shared" si="0"/>
        <v>1666.1316666666669</v>
      </c>
      <c r="C21" s="1">
        <v>19993.580000000002</v>
      </c>
    </row>
    <row r="22" spans="1:3" ht="15.75">
      <c r="A22" s="1" t="s">
        <v>12</v>
      </c>
      <c r="B22" s="7">
        <f t="shared" si="0"/>
        <v>2989.8166666666671</v>
      </c>
      <c r="C22" s="1">
        <v>35877.800000000003</v>
      </c>
    </row>
    <row r="23" spans="1:3" ht="15.75">
      <c r="A23" s="1" t="s">
        <v>13</v>
      </c>
      <c r="B23" s="7">
        <f t="shared" si="0"/>
        <v>71.39</v>
      </c>
      <c r="C23" s="1">
        <v>856.68</v>
      </c>
    </row>
    <row r="24" spans="1:3" ht="15.75">
      <c r="A24" s="1" t="s">
        <v>14</v>
      </c>
      <c r="B24" s="7">
        <f t="shared" si="0"/>
        <v>1752.9458333333332</v>
      </c>
      <c r="C24" s="1">
        <v>21035.35</v>
      </c>
    </row>
    <row r="25" spans="1:3" ht="15.75">
      <c r="A25" s="1" t="s">
        <v>29</v>
      </c>
      <c r="B25" s="7">
        <f t="shared" si="0"/>
        <v>0</v>
      </c>
      <c r="C25" s="1"/>
    </row>
    <row r="26" spans="1:3" ht="15.75">
      <c r="A26" s="1" t="s">
        <v>19</v>
      </c>
      <c r="B26" s="7">
        <f t="shared" si="0"/>
        <v>59.44083333333333</v>
      </c>
      <c r="C26" s="1">
        <v>713.29</v>
      </c>
    </row>
    <row r="27" spans="1:3" ht="15.75">
      <c r="A27" s="1" t="s">
        <v>78</v>
      </c>
      <c r="B27" s="7">
        <f t="shared" si="0"/>
        <v>8200.185833333333</v>
      </c>
      <c r="C27" s="1">
        <v>98402.23</v>
      </c>
    </row>
    <row r="28" spans="1:3" ht="15.75">
      <c r="A28" s="6" t="s">
        <v>79</v>
      </c>
      <c r="B28" s="7">
        <f t="shared" si="0"/>
        <v>41411.915833333333</v>
      </c>
      <c r="C28" s="6">
        <f>SUM(C13:C27)</f>
        <v>496942.99</v>
      </c>
    </row>
    <row r="29" spans="1:3" ht="15.75">
      <c r="A29" s="6" t="s">
        <v>80</v>
      </c>
      <c r="B29" s="7"/>
      <c r="C29" s="6"/>
    </row>
    <row r="30" spans="1:3" ht="15.75">
      <c r="A30" s="6" t="s">
        <v>81</v>
      </c>
      <c r="B30" s="1"/>
      <c r="C30" s="6">
        <v>116727.97</v>
      </c>
    </row>
    <row r="31" spans="1:3" ht="15.75">
      <c r="A31" s="1" t="s">
        <v>33</v>
      </c>
      <c r="B31" s="6">
        <v>238899.89</v>
      </c>
      <c r="C31" s="1"/>
    </row>
    <row r="32" spans="1:3" ht="15.75">
      <c r="A32" s="1" t="s">
        <v>22</v>
      </c>
      <c r="B32" s="1"/>
      <c r="C32" s="1"/>
    </row>
    <row r="33" spans="1:2" ht="15.75">
      <c r="A33" s="1" t="s">
        <v>23</v>
      </c>
    </row>
    <row r="34" spans="1:2" ht="15.75">
      <c r="A34" s="1" t="s">
        <v>82</v>
      </c>
      <c r="B34" s="4">
        <v>93232.81</v>
      </c>
    </row>
    <row r="36" spans="1:2" ht="15.75">
      <c r="A36" s="10" t="s">
        <v>73</v>
      </c>
    </row>
    <row r="38" spans="1:2">
      <c r="A38" t="s">
        <v>75</v>
      </c>
    </row>
    <row r="39" spans="1:2">
      <c r="A39" t="s">
        <v>74</v>
      </c>
    </row>
    <row r="41" spans="1:2">
      <c r="A41" t="s">
        <v>76</v>
      </c>
    </row>
  </sheetData>
  <pageMargins left="0.7" right="0.7" top="0.75" bottom="0.75" header="0.3" footer="0.3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C41"/>
  <sheetViews>
    <sheetView workbookViewId="0">
      <selection activeCell="A8" sqref="A8"/>
    </sheetView>
  </sheetViews>
  <sheetFormatPr defaultRowHeight="15"/>
  <cols>
    <col min="1" max="1" width="58.28515625" customWidth="1"/>
    <col min="2" max="2" width="13.5703125" customWidth="1"/>
    <col min="3" max="3" width="14" customWidth="1"/>
  </cols>
  <sheetData>
    <row r="1" spans="1:3" ht="15.75">
      <c r="A1" s="1" t="s">
        <v>0</v>
      </c>
    </row>
    <row r="2" spans="1:3" ht="15.75">
      <c r="A2" s="1" t="s">
        <v>108</v>
      </c>
      <c r="B2" s="1"/>
      <c r="C2" s="1"/>
    </row>
    <row r="3" spans="1:3" ht="15.75">
      <c r="A3" s="1" t="s">
        <v>92</v>
      </c>
      <c r="B3" s="1"/>
      <c r="C3" s="1"/>
    </row>
    <row r="4" spans="1:3" ht="15.75">
      <c r="A4" s="1" t="s">
        <v>28</v>
      </c>
      <c r="B4" s="1"/>
      <c r="C4" s="1"/>
    </row>
    <row r="5" spans="1:3" ht="15.75">
      <c r="A5" s="1" t="s">
        <v>77</v>
      </c>
      <c r="B5" s="1"/>
      <c r="C5" s="1"/>
    </row>
    <row r="6" spans="1:3" ht="15.75">
      <c r="A6" s="1"/>
      <c r="B6" s="1"/>
      <c r="C6" s="1"/>
    </row>
    <row r="7" spans="1:3" ht="15.75">
      <c r="A7" s="1" t="s">
        <v>1</v>
      </c>
      <c r="B7" s="1" t="s">
        <v>2</v>
      </c>
      <c r="C7" s="1" t="s">
        <v>3</v>
      </c>
    </row>
    <row r="8" spans="1:3" ht="15.75">
      <c r="A8" s="6" t="s">
        <v>138</v>
      </c>
      <c r="B8" s="2"/>
      <c r="C8" s="6">
        <v>-28560.83</v>
      </c>
    </row>
    <row r="9" spans="1:3" ht="15.75">
      <c r="A9" s="1" t="s">
        <v>4</v>
      </c>
      <c r="B9" s="7">
        <f>C9/12</f>
        <v>33272.35</v>
      </c>
      <c r="C9" s="1">
        <v>399268.2</v>
      </c>
    </row>
    <row r="10" spans="1:3" ht="15.75">
      <c r="A10" s="1" t="s">
        <v>31</v>
      </c>
      <c r="B10" s="7">
        <f t="shared" ref="B10:B28" si="0">C10/12</f>
        <v>619.76499999999999</v>
      </c>
      <c r="C10" s="1">
        <f>627.18+6810</f>
        <v>7437.18</v>
      </c>
    </row>
    <row r="11" spans="1:3" ht="15.75">
      <c r="A11" s="6" t="s">
        <v>17</v>
      </c>
      <c r="B11" s="7">
        <f t="shared" si="0"/>
        <v>33892.114999999998</v>
      </c>
      <c r="C11" s="6">
        <f>SUM(C9:C10)</f>
        <v>406705.38</v>
      </c>
    </row>
    <row r="12" spans="1:3" ht="15.75">
      <c r="A12" s="1" t="s">
        <v>18</v>
      </c>
      <c r="B12" s="7">
        <f t="shared" si="0"/>
        <v>0</v>
      </c>
      <c r="C12" s="1"/>
    </row>
    <row r="13" spans="1:3" ht="15.75">
      <c r="A13" s="1" t="s">
        <v>25</v>
      </c>
      <c r="B13" s="7">
        <f t="shared" si="0"/>
        <v>10389.558333333332</v>
      </c>
      <c r="C13" s="1">
        <f>101879.7+22795</f>
        <v>124674.7</v>
      </c>
    </row>
    <row r="14" spans="1:3" ht="15.75">
      <c r="A14" s="1" t="s">
        <v>32</v>
      </c>
      <c r="B14" s="7">
        <f t="shared" si="0"/>
        <v>10754.144166666667</v>
      </c>
      <c r="C14" s="1">
        <f>42181.97+86867.76</f>
        <v>129049.73</v>
      </c>
    </row>
    <row r="15" spans="1:3" ht="15.75">
      <c r="A15" s="1" t="s">
        <v>5</v>
      </c>
      <c r="B15" s="7">
        <f t="shared" si="0"/>
        <v>0</v>
      </c>
      <c r="C15" s="1"/>
    </row>
    <row r="16" spans="1:3" ht="15.75">
      <c r="A16" s="1" t="s">
        <v>6</v>
      </c>
      <c r="B16" s="7">
        <f t="shared" si="0"/>
        <v>4274.854166666667</v>
      </c>
      <c r="C16" s="1">
        <v>51298.25</v>
      </c>
    </row>
    <row r="17" spans="1:3" ht="15.75">
      <c r="A17" s="1" t="s">
        <v>7</v>
      </c>
      <c r="B17" s="7">
        <f t="shared" si="0"/>
        <v>1289.5350000000001</v>
      </c>
      <c r="C17" s="1">
        <v>15474.42</v>
      </c>
    </row>
    <row r="18" spans="1:3" ht="15.75">
      <c r="A18" s="1" t="s">
        <v>8</v>
      </c>
      <c r="B18" s="7">
        <f t="shared" si="0"/>
        <v>136.63</v>
      </c>
      <c r="C18" s="1">
        <v>1639.56</v>
      </c>
    </row>
    <row r="19" spans="1:3" ht="15.75">
      <c r="A19" s="1" t="s">
        <v>9</v>
      </c>
      <c r="B19" s="7">
        <f t="shared" si="0"/>
        <v>0</v>
      </c>
      <c r="C19" s="1"/>
    </row>
    <row r="20" spans="1:3" ht="15.75">
      <c r="A20" s="1" t="s">
        <v>10</v>
      </c>
      <c r="B20" s="7">
        <f t="shared" si="0"/>
        <v>1497.1066666666666</v>
      </c>
      <c r="C20" s="1">
        <v>17965.28</v>
      </c>
    </row>
    <row r="21" spans="1:3" ht="15.75">
      <c r="A21" s="1" t="s">
        <v>11</v>
      </c>
      <c r="B21" s="7">
        <f t="shared" si="0"/>
        <v>1656.1375</v>
      </c>
      <c r="C21" s="1">
        <v>19873.650000000001</v>
      </c>
    </row>
    <row r="22" spans="1:3" ht="15.75">
      <c r="A22" s="1" t="s">
        <v>12</v>
      </c>
      <c r="B22" s="7">
        <f t="shared" si="0"/>
        <v>2968.5291666666667</v>
      </c>
      <c r="C22" s="1">
        <v>35622.35</v>
      </c>
    </row>
    <row r="23" spans="1:3" ht="15.75">
      <c r="A23" s="1" t="s">
        <v>13</v>
      </c>
      <c r="B23" s="7">
        <f t="shared" si="0"/>
        <v>0</v>
      </c>
      <c r="C23" s="1"/>
    </row>
    <row r="24" spans="1:3" ht="15.75">
      <c r="A24" s="1" t="s">
        <v>14</v>
      </c>
      <c r="B24" s="7">
        <f t="shared" si="0"/>
        <v>1762.9341666666667</v>
      </c>
      <c r="C24" s="1">
        <v>21155.21</v>
      </c>
    </row>
    <row r="25" spans="1:3" ht="15.75">
      <c r="A25" s="1" t="s">
        <v>29</v>
      </c>
      <c r="B25" s="7">
        <f t="shared" si="0"/>
        <v>0</v>
      </c>
      <c r="C25" s="1"/>
    </row>
    <row r="26" spans="1:3" ht="15.75">
      <c r="A26" s="1" t="s">
        <v>19</v>
      </c>
      <c r="B26" s="7">
        <f t="shared" si="0"/>
        <v>59.44083333333333</v>
      </c>
      <c r="C26" s="1">
        <v>713.29</v>
      </c>
    </row>
    <row r="27" spans="1:3" ht="15.75">
      <c r="A27" s="1" t="s">
        <v>78</v>
      </c>
      <c r="B27" s="7">
        <f t="shared" si="0"/>
        <v>8194.4466666666667</v>
      </c>
      <c r="C27" s="1">
        <v>98333.36</v>
      </c>
    </row>
    <row r="28" spans="1:3" ht="15.75">
      <c r="A28" s="6" t="s">
        <v>79</v>
      </c>
      <c r="B28" s="7">
        <f t="shared" si="0"/>
        <v>42983.316666666658</v>
      </c>
      <c r="C28" s="6">
        <f>SUM(C13:C27)</f>
        <v>515799.79999999993</v>
      </c>
    </row>
    <row r="29" spans="1:3" ht="15.75">
      <c r="A29" s="6" t="s">
        <v>80</v>
      </c>
      <c r="B29" s="7"/>
      <c r="C29" s="6"/>
    </row>
    <row r="30" spans="1:3" ht="15.75">
      <c r="A30" s="6" t="s">
        <v>81</v>
      </c>
      <c r="B30" s="1"/>
      <c r="C30" s="6">
        <v>137655.25</v>
      </c>
    </row>
    <row r="31" spans="1:3" ht="15.75">
      <c r="A31" s="1" t="s">
        <v>33</v>
      </c>
      <c r="B31" s="6">
        <v>145898.20000000001</v>
      </c>
      <c r="C31" s="1"/>
    </row>
    <row r="32" spans="1:3" ht="15.75">
      <c r="A32" s="1" t="s">
        <v>22</v>
      </c>
      <c r="B32" s="1"/>
      <c r="C32" s="1"/>
    </row>
    <row r="33" spans="1:2" ht="15.75">
      <c r="A33" s="1" t="s">
        <v>23</v>
      </c>
    </row>
    <row r="34" spans="1:2" ht="15.75">
      <c r="A34" s="1" t="s">
        <v>82</v>
      </c>
      <c r="B34" s="4">
        <v>17296.919999999998</v>
      </c>
    </row>
    <row r="35" spans="1:2" ht="23.25" customHeight="1"/>
    <row r="36" spans="1:2" ht="24" customHeight="1">
      <c r="A36" s="10" t="s">
        <v>73</v>
      </c>
    </row>
    <row r="37" spans="1:2" ht="29.25" customHeight="1"/>
    <row r="38" spans="1:2">
      <c r="A38" t="s">
        <v>75</v>
      </c>
    </row>
    <row r="39" spans="1:2">
      <c r="A39" t="s">
        <v>74</v>
      </c>
    </row>
    <row r="41" spans="1:2">
      <c r="A41" t="s">
        <v>76</v>
      </c>
    </row>
  </sheetData>
  <pageMargins left="0.7" right="0.7" top="0.75" bottom="0.75" header="0.3" footer="0.3"/>
  <pageSetup paperSize="9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C41"/>
  <sheetViews>
    <sheetView topLeftCell="A5" workbookViewId="0">
      <selection activeCell="C29" sqref="C29"/>
    </sheetView>
  </sheetViews>
  <sheetFormatPr defaultRowHeight="15"/>
  <cols>
    <col min="1" max="1" width="53.28515625" customWidth="1"/>
    <col min="2" max="2" width="13.7109375" customWidth="1"/>
    <col min="3" max="3" width="14.28515625" customWidth="1"/>
  </cols>
  <sheetData>
    <row r="1" spans="1:3" ht="15.75">
      <c r="A1" s="1" t="s">
        <v>0</v>
      </c>
    </row>
    <row r="2" spans="1:3" ht="15.75">
      <c r="A2" s="1" t="s">
        <v>115</v>
      </c>
      <c r="B2" s="1"/>
      <c r="C2" s="1"/>
    </row>
    <row r="3" spans="1:3" ht="15.75">
      <c r="A3" s="1" t="s">
        <v>92</v>
      </c>
      <c r="B3" s="1"/>
      <c r="C3" s="1"/>
    </row>
    <row r="4" spans="1:3" ht="15.75">
      <c r="A4" s="1" t="s">
        <v>28</v>
      </c>
      <c r="B4" s="1"/>
      <c r="C4" s="1"/>
    </row>
    <row r="5" spans="1:3" ht="15.75">
      <c r="A5" s="1" t="s">
        <v>77</v>
      </c>
      <c r="B5" s="1"/>
      <c r="C5" s="1"/>
    </row>
    <row r="6" spans="1:3" ht="15.75">
      <c r="A6" s="1"/>
      <c r="B6" s="1"/>
      <c r="C6" s="1"/>
    </row>
    <row r="7" spans="1:3" ht="15.75">
      <c r="A7" s="1" t="s">
        <v>1</v>
      </c>
      <c r="B7" s="1" t="s">
        <v>2</v>
      </c>
      <c r="C7" s="1" t="s">
        <v>3</v>
      </c>
    </row>
    <row r="8" spans="1:3" ht="15.75">
      <c r="A8" s="1" t="s">
        <v>138</v>
      </c>
      <c r="B8" s="2"/>
      <c r="C8" s="6">
        <v>-20988.400000000001</v>
      </c>
    </row>
    <row r="9" spans="1:3" ht="15.75">
      <c r="A9" s="1" t="s">
        <v>4</v>
      </c>
      <c r="B9" s="7">
        <f>C9/12</f>
        <v>29402.716666666664</v>
      </c>
      <c r="C9" s="1">
        <v>352832.6</v>
      </c>
    </row>
    <row r="10" spans="1:3" ht="15.75">
      <c r="A10" s="1" t="s">
        <v>31</v>
      </c>
      <c r="B10" s="7">
        <f t="shared" ref="B10:B28" si="0">C10/12</f>
        <v>8465.6433333333334</v>
      </c>
      <c r="C10" s="1">
        <f>12411.08+89176.64</f>
        <v>101587.72</v>
      </c>
    </row>
    <row r="11" spans="1:3" ht="15.75">
      <c r="A11" s="6" t="s">
        <v>17</v>
      </c>
      <c r="B11" s="7">
        <f t="shared" si="0"/>
        <v>37868.359999999993</v>
      </c>
      <c r="C11" s="6">
        <f>SUM(C9:C10)</f>
        <v>454420.31999999995</v>
      </c>
    </row>
    <row r="12" spans="1:3" ht="15.75">
      <c r="A12" s="1" t="s">
        <v>18</v>
      </c>
      <c r="B12" s="7">
        <f t="shared" si="0"/>
        <v>0</v>
      </c>
      <c r="C12" s="1"/>
    </row>
    <row r="13" spans="1:3" ht="15.75">
      <c r="A13" s="1" t="s">
        <v>25</v>
      </c>
      <c r="B13" s="7">
        <f t="shared" si="0"/>
        <v>10791.558333333332</v>
      </c>
      <c r="C13" s="1">
        <f>105821.7+23677</f>
        <v>129498.7</v>
      </c>
    </row>
    <row r="14" spans="1:3" ht="15.75">
      <c r="A14" s="1" t="s">
        <v>32</v>
      </c>
      <c r="B14" s="7">
        <f t="shared" si="0"/>
        <v>7409.086666666667</v>
      </c>
      <c r="C14" s="1">
        <f>24001.82+64907.22</f>
        <v>88909.040000000008</v>
      </c>
    </row>
    <row r="15" spans="1:3" ht="15.75">
      <c r="A15" s="1" t="s">
        <v>5</v>
      </c>
      <c r="B15" s="7">
        <f t="shared" si="0"/>
        <v>0</v>
      </c>
      <c r="C15" s="1"/>
    </row>
    <row r="16" spans="1:3" ht="15.75">
      <c r="A16" s="1" t="s">
        <v>6</v>
      </c>
      <c r="B16" s="7">
        <f t="shared" si="0"/>
        <v>4214.666666666667</v>
      </c>
      <c r="C16" s="1">
        <v>50576</v>
      </c>
    </row>
    <row r="17" spans="1:3" ht="15.75">
      <c r="A17" s="1" t="s">
        <v>7</v>
      </c>
      <c r="B17" s="7">
        <f t="shared" si="0"/>
        <v>1648.7449999999999</v>
      </c>
      <c r="C17" s="1">
        <v>19784.939999999999</v>
      </c>
    </row>
    <row r="18" spans="1:3" ht="15.75">
      <c r="A18" s="1" t="s">
        <v>8</v>
      </c>
      <c r="B18" s="7">
        <f t="shared" si="0"/>
        <v>87.788333333333341</v>
      </c>
      <c r="C18" s="1">
        <v>1053.46</v>
      </c>
    </row>
    <row r="19" spans="1:3" ht="15.75">
      <c r="A19" s="1" t="s">
        <v>9</v>
      </c>
      <c r="B19" s="7">
        <f t="shared" si="0"/>
        <v>0</v>
      </c>
      <c r="C19" s="1"/>
    </row>
    <row r="20" spans="1:3" ht="15.75">
      <c r="A20" s="1" t="s">
        <v>10</v>
      </c>
      <c r="B20" s="7">
        <f t="shared" si="0"/>
        <v>606.42250000000001</v>
      </c>
      <c r="C20" s="1">
        <v>7277.07</v>
      </c>
    </row>
    <row r="21" spans="1:3" ht="15.75">
      <c r="A21" s="1" t="s">
        <v>11</v>
      </c>
      <c r="B21" s="7">
        <f t="shared" si="0"/>
        <v>1495.7383333333335</v>
      </c>
      <c r="C21" s="1">
        <v>17948.86</v>
      </c>
    </row>
    <row r="22" spans="1:3" ht="15.75">
      <c r="A22" s="1" t="s">
        <v>12</v>
      </c>
      <c r="B22" s="7">
        <f t="shared" si="0"/>
        <v>3083.39</v>
      </c>
      <c r="C22" s="1">
        <v>37000.68</v>
      </c>
    </row>
    <row r="23" spans="1:3" ht="15.75">
      <c r="A23" s="1" t="s">
        <v>13</v>
      </c>
      <c r="B23" s="7">
        <f t="shared" si="0"/>
        <v>42.574166666666663</v>
      </c>
      <c r="C23" s="1">
        <v>510.89</v>
      </c>
    </row>
    <row r="24" spans="1:3" ht="15.75">
      <c r="A24" s="1" t="s">
        <v>14</v>
      </c>
      <c r="B24" s="7">
        <f t="shared" si="0"/>
        <v>1969.7625</v>
      </c>
      <c r="C24" s="1">
        <v>23637.15</v>
      </c>
    </row>
    <row r="25" spans="1:3" ht="15.75">
      <c r="A25" s="1" t="s">
        <v>29</v>
      </c>
      <c r="B25" s="7">
        <f t="shared" si="0"/>
        <v>186.94583333333333</v>
      </c>
      <c r="C25" s="1">
        <v>2243.35</v>
      </c>
    </row>
    <row r="26" spans="1:3" ht="15.75">
      <c r="A26" s="1" t="s">
        <v>19</v>
      </c>
      <c r="B26" s="7">
        <f t="shared" si="0"/>
        <v>59.44083333333333</v>
      </c>
      <c r="C26" s="1">
        <v>713.29</v>
      </c>
    </row>
    <row r="27" spans="1:3" ht="15.75">
      <c r="A27" s="1" t="s">
        <v>78</v>
      </c>
      <c r="B27" s="7">
        <f t="shared" si="0"/>
        <v>7063.5941666666668</v>
      </c>
      <c r="C27" s="1">
        <v>84763.13</v>
      </c>
    </row>
    <row r="28" spans="1:3" ht="15.75">
      <c r="A28" s="6" t="s">
        <v>79</v>
      </c>
      <c r="B28" s="7">
        <f t="shared" si="0"/>
        <v>38659.713333333333</v>
      </c>
      <c r="C28" s="6">
        <f>SUM(C13:C27)</f>
        <v>463916.56</v>
      </c>
    </row>
    <row r="29" spans="1:3" ht="15.75">
      <c r="A29" s="6" t="s">
        <v>80</v>
      </c>
      <c r="B29" s="7"/>
      <c r="C29" s="6"/>
    </row>
    <row r="30" spans="1:3" ht="15.75">
      <c r="A30" s="6" t="s">
        <v>81</v>
      </c>
      <c r="B30" s="1"/>
      <c r="C30" s="6">
        <v>30484.639999999999</v>
      </c>
    </row>
    <row r="31" spans="1:3" ht="15.75">
      <c r="A31" s="1" t="s">
        <v>33</v>
      </c>
      <c r="B31" s="6">
        <v>160934.51999999999</v>
      </c>
      <c r="C31" s="1"/>
    </row>
    <row r="32" spans="1:3" ht="15.75">
      <c r="A32" s="1" t="s">
        <v>22</v>
      </c>
      <c r="B32" s="1"/>
      <c r="C32" s="1"/>
    </row>
    <row r="33" spans="1:2" ht="15.75">
      <c r="A33" s="1" t="s">
        <v>23</v>
      </c>
    </row>
    <row r="34" spans="1:2" ht="18.75">
      <c r="A34" s="1" t="s">
        <v>137</v>
      </c>
      <c r="B34" s="14">
        <v>53405.15</v>
      </c>
    </row>
    <row r="35" spans="1:2" ht="27" customHeight="1"/>
    <row r="36" spans="1:2" ht="15.75">
      <c r="A36" s="10" t="s">
        <v>73</v>
      </c>
    </row>
    <row r="37" spans="1:2" ht="35.25" customHeight="1"/>
    <row r="38" spans="1:2">
      <c r="A38" t="s">
        <v>75</v>
      </c>
    </row>
    <row r="39" spans="1:2">
      <c r="A39" t="s">
        <v>74</v>
      </c>
    </row>
    <row r="41" spans="1:2">
      <c r="A41" t="s">
        <v>76</v>
      </c>
    </row>
  </sheetData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C41"/>
  <sheetViews>
    <sheetView topLeftCell="A11" workbookViewId="0">
      <selection activeCell="B34" sqref="B34"/>
    </sheetView>
  </sheetViews>
  <sheetFormatPr defaultRowHeight="15"/>
  <cols>
    <col min="1" max="1" width="58.28515625" customWidth="1"/>
    <col min="2" max="2" width="13.28515625" customWidth="1"/>
    <col min="3" max="3" width="14.28515625" customWidth="1"/>
  </cols>
  <sheetData>
    <row r="1" spans="1:3" ht="15.75">
      <c r="A1" s="1" t="s">
        <v>0</v>
      </c>
    </row>
    <row r="2" spans="1:3" ht="15.75">
      <c r="A2" s="1" t="s">
        <v>102</v>
      </c>
      <c r="B2" s="1"/>
      <c r="C2" s="1"/>
    </row>
    <row r="3" spans="1:3" ht="15.75">
      <c r="A3" s="1" t="s">
        <v>92</v>
      </c>
      <c r="B3" s="1"/>
      <c r="C3" s="1"/>
    </row>
    <row r="4" spans="1:3" ht="15.75">
      <c r="A4" s="1" t="s">
        <v>28</v>
      </c>
      <c r="B4" s="1"/>
      <c r="C4" s="1"/>
    </row>
    <row r="5" spans="1:3" ht="15.75">
      <c r="A5" s="1" t="s">
        <v>77</v>
      </c>
      <c r="B5" s="1"/>
      <c r="C5" s="1"/>
    </row>
    <row r="6" spans="1:3" ht="15.75">
      <c r="A6" s="1"/>
      <c r="B6" s="1"/>
      <c r="C6" s="1"/>
    </row>
    <row r="7" spans="1:3" ht="15.75">
      <c r="A7" s="1" t="s">
        <v>1</v>
      </c>
      <c r="B7" s="1" t="s">
        <v>2</v>
      </c>
      <c r="C7" s="1" t="s">
        <v>3</v>
      </c>
    </row>
    <row r="8" spans="1:3" ht="15.75">
      <c r="A8" s="6" t="s">
        <v>138</v>
      </c>
      <c r="B8" s="2"/>
      <c r="C8" s="6">
        <v>-49903.78</v>
      </c>
    </row>
    <row r="9" spans="1:3" ht="15.75">
      <c r="A9" s="1" t="s">
        <v>4</v>
      </c>
      <c r="B9" s="7">
        <f>C9/12</f>
        <v>55308.791666666664</v>
      </c>
      <c r="C9" s="1">
        <v>663705.5</v>
      </c>
    </row>
    <row r="10" spans="1:3" ht="15.75">
      <c r="A10" s="1" t="s">
        <v>31</v>
      </c>
      <c r="B10" s="7">
        <f t="shared" ref="B10:B28" si="0">C10/12</f>
        <v>5920.54</v>
      </c>
      <c r="C10" s="1">
        <f>18100.23+52946.25</f>
        <v>71046.48</v>
      </c>
    </row>
    <row r="11" spans="1:3" ht="15.75">
      <c r="A11" s="6" t="s">
        <v>17</v>
      </c>
      <c r="B11" s="7">
        <f t="shared" si="0"/>
        <v>61229.331666666665</v>
      </c>
      <c r="C11" s="6">
        <f>SUM(C9:C10)</f>
        <v>734751.98</v>
      </c>
    </row>
    <row r="12" spans="1:3" ht="15.75">
      <c r="A12" s="1" t="s">
        <v>18</v>
      </c>
      <c r="B12" s="7">
        <f t="shared" si="0"/>
        <v>0</v>
      </c>
      <c r="C12" s="1"/>
    </row>
    <row r="13" spans="1:3" ht="15.75">
      <c r="A13" s="1" t="s">
        <v>25</v>
      </c>
      <c r="B13" s="7">
        <f t="shared" si="0"/>
        <v>15705.605000000001</v>
      </c>
      <c r="C13" s="1">
        <f>154008.7+34458.56</f>
        <v>188467.26</v>
      </c>
    </row>
    <row r="14" spans="1:3" ht="15.75">
      <c r="A14" s="1" t="s">
        <v>32</v>
      </c>
      <c r="B14" s="7">
        <f t="shared" si="0"/>
        <v>15345.228333333333</v>
      </c>
      <c r="C14" s="1">
        <f>74279.14+109863.6</f>
        <v>184142.74</v>
      </c>
    </row>
    <row r="15" spans="1:3" ht="15.75">
      <c r="A15" s="1" t="s">
        <v>5</v>
      </c>
      <c r="B15" s="7">
        <f t="shared" si="0"/>
        <v>10658.24</v>
      </c>
      <c r="C15" s="1">
        <v>127898.88</v>
      </c>
    </row>
    <row r="16" spans="1:3" ht="15.75">
      <c r="A16" s="1" t="s">
        <v>6</v>
      </c>
      <c r="B16" s="7">
        <f t="shared" si="0"/>
        <v>4175.416666666667</v>
      </c>
      <c r="C16" s="1">
        <v>50105</v>
      </c>
    </row>
    <row r="17" spans="1:3" ht="15.75">
      <c r="A17" s="1" t="s">
        <v>7</v>
      </c>
      <c r="B17" s="7">
        <f t="shared" si="0"/>
        <v>1857.76</v>
      </c>
      <c r="C17" s="1">
        <v>22293.119999999999</v>
      </c>
    </row>
    <row r="18" spans="1:3" ht="15.75">
      <c r="A18" s="1" t="s">
        <v>8</v>
      </c>
      <c r="B18" s="7">
        <f t="shared" si="0"/>
        <v>113.73</v>
      </c>
      <c r="C18" s="1">
        <v>1364.76</v>
      </c>
    </row>
    <row r="19" spans="1:3" ht="15.75">
      <c r="A19" s="1" t="s">
        <v>9</v>
      </c>
      <c r="B19" s="7">
        <f t="shared" si="0"/>
        <v>10080.530000000001</v>
      </c>
      <c r="C19" s="1">
        <v>120966.36</v>
      </c>
    </row>
    <row r="20" spans="1:3" ht="15.75">
      <c r="A20" s="1" t="s">
        <v>10</v>
      </c>
      <c r="B20" s="7">
        <f t="shared" si="0"/>
        <v>1440.2541666666666</v>
      </c>
      <c r="C20" s="1">
        <v>17283.05</v>
      </c>
    </row>
    <row r="21" spans="1:3" ht="15.75">
      <c r="A21" s="1" t="s">
        <v>11</v>
      </c>
      <c r="B21" s="7">
        <f t="shared" si="0"/>
        <v>2819.9116666666669</v>
      </c>
      <c r="C21" s="1">
        <v>33838.94</v>
      </c>
    </row>
    <row r="22" spans="1:3" ht="15.75">
      <c r="A22" s="1" t="s">
        <v>12</v>
      </c>
      <c r="B22" s="7">
        <f t="shared" si="0"/>
        <v>4487.4433333333336</v>
      </c>
      <c r="C22" s="1">
        <v>53849.32</v>
      </c>
    </row>
    <row r="23" spans="1:3" ht="15.75">
      <c r="A23" s="1" t="s">
        <v>13</v>
      </c>
      <c r="B23" s="7">
        <f t="shared" si="0"/>
        <v>132.37416666666667</v>
      </c>
      <c r="C23" s="1">
        <v>1588.49</v>
      </c>
    </row>
    <row r="24" spans="1:3" ht="15.75">
      <c r="A24" s="1" t="s">
        <v>14</v>
      </c>
      <c r="B24" s="7">
        <f t="shared" si="0"/>
        <v>3184.9083333333333</v>
      </c>
      <c r="C24" s="1">
        <v>38218.9</v>
      </c>
    </row>
    <row r="25" spans="1:3" ht="15.75">
      <c r="A25" s="1" t="s">
        <v>29</v>
      </c>
      <c r="B25" s="7">
        <f t="shared" si="0"/>
        <v>357.17166666666668</v>
      </c>
      <c r="C25" s="1">
        <v>4286.0600000000004</v>
      </c>
    </row>
    <row r="26" spans="1:3" ht="15.75">
      <c r="A26" s="1" t="s">
        <v>19</v>
      </c>
      <c r="B26" s="7">
        <f t="shared" si="0"/>
        <v>82.5</v>
      </c>
      <c r="C26" s="1">
        <v>990</v>
      </c>
    </row>
    <row r="27" spans="1:3" ht="15.75">
      <c r="A27" s="1" t="s">
        <v>78</v>
      </c>
      <c r="B27" s="7">
        <f t="shared" si="0"/>
        <v>10203.636666666667</v>
      </c>
      <c r="C27" s="1">
        <v>122443.64</v>
      </c>
    </row>
    <row r="28" spans="1:3" ht="15.75">
      <c r="A28" s="6" t="s">
        <v>79</v>
      </c>
      <c r="B28" s="7">
        <f t="shared" si="0"/>
        <v>80644.710000000006</v>
      </c>
      <c r="C28" s="6">
        <f>SUM(C13:C27)</f>
        <v>967736.52000000014</v>
      </c>
    </row>
    <row r="29" spans="1:3" ht="15.75">
      <c r="A29" s="6" t="s">
        <v>80</v>
      </c>
      <c r="B29" s="7"/>
      <c r="C29" s="6"/>
    </row>
    <row r="30" spans="1:3" ht="15.75">
      <c r="A30" s="6" t="s">
        <v>81</v>
      </c>
      <c r="B30" s="1"/>
      <c r="C30" s="6">
        <v>282888.32000000001</v>
      </c>
    </row>
    <row r="31" spans="1:3" ht="15.75">
      <c r="A31" s="1" t="s">
        <v>33</v>
      </c>
      <c r="B31" s="6">
        <v>321609.74</v>
      </c>
      <c r="C31" s="1"/>
    </row>
    <row r="32" spans="1:3" ht="15.75">
      <c r="A32" s="1" t="s">
        <v>22</v>
      </c>
      <c r="B32" s="1"/>
      <c r="C32" s="1"/>
    </row>
    <row r="33" spans="1:2" ht="15.75">
      <c r="A33" s="1" t="s">
        <v>23</v>
      </c>
    </row>
    <row r="34" spans="1:2" ht="15.75">
      <c r="A34" s="1" t="s">
        <v>82</v>
      </c>
      <c r="B34" s="4">
        <v>42451</v>
      </c>
    </row>
    <row r="35" spans="1:2" ht="33.75" customHeight="1"/>
    <row r="36" spans="1:2" ht="15.75">
      <c r="A36" s="10" t="s">
        <v>73</v>
      </c>
    </row>
    <row r="38" spans="1:2">
      <c r="A38" t="s">
        <v>75</v>
      </c>
    </row>
    <row r="39" spans="1:2">
      <c r="A39" t="s">
        <v>74</v>
      </c>
    </row>
    <row r="41" spans="1:2">
      <c r="A41" t="s">
        <v>76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topLeftCell="A5" workbookViewId="0">
      <selection activeCell="H12" sqref="H12"/>
    </sheetView>
  </sheetViews>
  <sheetFormatPr defaultRowHeight="15"/>
  <cols>
    <col min="1" max="1" width="51.7109375" customWidth="1"/>
    <col min="2" max="2" width="13" customWidth="1"/>
    <col min="3" max="3" width="12.85546875" customWidth="1"/>
  </cols>
  <sheetData>
    <row r="1" spans="1:3" ht="15.75">
      <c r="A1" s="1" t="s">
        <v>0</v>
      </c>
    </row>
    <row r="2" spans="1:3" ht="15.75">
      <c r="A2" s="1" t="s">
        <v>119</v>
      </c>
      <c r="B2" s="1"/>
      <c r="C2" s="1"/>
    </row>
    <row r="3" spans="1:3" ht="15.75">
      <c r="A3" s="1" t="s">
        <v>92</v>
      </c>
      <c r="B3" s="1"/>
      <c r="C3" s="1"/>
    </row>
    <row r="4" spans="1:3" ht="15.75">
      <c r="A4" s="1" t="s">
        <v>28</v>
      </c>
      <c r="B4" s="1"/>
      <c r="C4" s="1"/>
    </row>
    <row r="5" spans="1:3" ht="15.75">
      <c r="A5" s="1" t="s">
        <v>77</v>
      </c>
      <c r="B5" s="1"/>
      <c r="C5" s="1"/>
    </row>
    <row r="6" spans="1:3" ht="15.75">
      <c r="A6" s="1"/>
      <c r="B6" s="1"/>
      <c r="C6" s="1"/>
    </row>
    <row r="7" spans="1:3" ht="15.75">
      <c r="A7" s="1" t="s">
        <v>1</v>
      </c>
      <c r="B7" s="1" t="s">
        <v>2</v>
      </c>
      <c r="C7" s="1" t="s">
        <v>3</v>
      </c>
    </row>
    <row r="8" spans="1:3" ht="15.75">
      <c r="A8" s="1" t="s">
        <v>138</v>
      </c>
      <c r="B8" s="2"/>
      <c r="C8" s="6">
        <v>3110.92</v>
      </c>
    </row>
    <row r="9" spans="1:3" ht="15.75">
      <c r="A9" s="1" t="s">
        <v>4</v>
      </c>
      <c r="B9" s="7">
        <f>C9/12</f>
        <v>56034.810833333329</v>
      </c>
      <c r="C9" s="1">
        <v>672417.73</v>
      </c>
    </row>
    <row r="10" spans="1:3" ht="15.75">
      <c r="A10" s="1" t="s">
        <v>31</v>
      </c>
      <c r="B10" s="7">
        <f t="shared" ref="B10:B28" si="0">C10/12</f>
        <v>1536.6491666666668</v>
      </c>
      <c r="C10" s="1">
        <f>795.95+17643.84</f>
        <v>18439.79</v>
      </c>
    </row>
    <row r="11" spans="1:3" ht="15.75">
      <c r="A11" s="6" t="s">
        <v>17</v>
      </c>
      <c r="B11" s="7">
        <f t="shared" si="0"/>
        <v>57571.46</v>
      </c>
      <c r="C11" s="6">
        <f>SUM(C9:C10)</f>
        <v>690857.52</v>
      </c>
    </row>
    <row r="12" spans="1:3" ht="15.75">
      <c r="A12" s="1" t="s">
        <v>18</v>
      </c>
      <c r="B12" s="7">
        <f t="shared" si="0"/>
        <v>0</v>
      </c>
      <c r="C12" s="1"/>
    </row>
    <row r="13" spans="1:3" ht="15.75">
      <c r="A13" s="1" t="s">
        <v>25</v>
      </c>
      <c r="B13" s="7">
        <f t="shared" si="0"/>
        <v>14164.335833333333</v>
      </c>
      <c r="C13" s="1">
        <f>138895.05+31076.98</f>
        <v>169972.03</v>
      </c>
    </row>
    <row r="14" spans="1:3" ht="15.75">
      <c r="A14" s="1" t="s">
        <v>32</v>
      </c>
      <c r="B14" s="7">
        <f t="shared" si="0"/>
        <v>10329.673333333332</v>
      </c>
      <c r="C14" s="1">
        <f>41173.49+82782.59</f>
        <v>123956.07999999999</v>
      </c>
    </row>
    <row r="15" spans="1:3" ht="15.75">
      <c r="A15" s="1" t="s">
        <v>5</v>
      </c>
      <c r="B15" s="7">
        <f t="shared" si="0"/>
        <v>0</v>
      </c>
      <c r="C15" s="1"/>
    </row>
    <row r="16" spans="1:3" ht="15.75">
      <c r="A16" s="1" t="s">
        <v>6</v>
      </c>
      <c r="B16" s="7">
        <f t="shared" si="0"/>
        <v>1576.4166666666667</v>
      </c>
      <c r="C16" s="1">
        <v>18917</v>
      </c>
    </row>
    <row r="17" spans="1:3" ht="15.75">
      <c r="A17" s="1" t="s">
        <v>7</v>
      </c>
      <c r="B17" s="7">
        <f t="shared" si="0"/>
        <v>2052.835</v>
      </c>
      <c r="C17" s="1">
        <v>24634.02</v>
      </c>
    </row>
    <row r="18" spans="1:3" ht="15.75">
      <c r="A18" s="1" t="s">
        <v>8</v>
      </c>
      <c r="B18" s="7">
        <f t="shared" si="0"/>
        <v>129.22</v>
      </c>
      <c r="C18" s="1">
        <v>1550.64</v>
      </c>
    </row>
    <row r="19" spans="1:3" ht="15.75">
      <c r="A19" s="1" t="s">
        <v>9</v>
      </c>
      <c r="B19" s="7">
        <f t="shared" si="0"/>
        <v>0</v>
      </c>
      <c r="C19" s="1"/>
    </row>
    <row r="20" spans="1:3" ht="15.75">
      <c r="A20" s="1" t="s">
        <v>10</v>
      </c>
      <c r="B20" s="7">
        <f t="shared" si="0"/>
        <v>1127.5674999999999</v>
      </c>
      <c r="C20" s="1">
        <v>13530.81</v>
      </c>
    </row>
    <row r="21" spans="1:3" ht="15.75">
      <c r="A21" s="1" t="s">
        <v>11</v>
      </c>
      <c r="B21" s="7">
        <f t="shared" si="0"/>
        <v>2791.1841666666664</v>
      </c>
      <c r="C21" s="1">
        <v>33494.21</v>
      </c>
    </row>
    <row r="22" spans="1:3" ht="15.75">
      <c r="A22" s="1" t="s">
        <v>12</v>
      </c>
      <c r="B22" s="7">
        <f t="shared" si="0"/>
        <v>4047.0683333333332</v>
      </c>
      <c r="C22" s="1">
        <v>48564.82</v>
      </c>
    </row>
    <row r="23" spans="1:3" ht="15.75">
      <c r="A23" s="1" t="s">
        <v>13</v>
      </c>
      <c r="B23" s="7">
        <f t="shared" si="0"/>
        <v>821.24749999999995</v>
      </c>
      <c r="C23" s="1">
        <v>9854.9699999999993</v>
      </c>
    </row>
    <row r="24" spans="1:3" ht="15.75">
      <c r="A24" s="1" t="s">
        <v>14</v>
      </c>
      <c r="B24" s="7">
        <f t="shared" si="0"/>
        <v>2994.64</v>
      </c>
      <c r="C24" s="1">
        <v>35935.68</v>
      </c>
    </row>
    <row r="25" spans="1:3" ht="15.75">
      <c r="A25" s="1" t="s">
        <v>29</v>
      </c>
      <c r="B25" s="7">
        <f t="shared" si="0"/>
        <v>259.95416666666665</v>
      </c>
      <c r="C25" s="1">
        <v>3119.45</v>
      </c>
    </row>
    <row r="26" spans="1:3" ht="15.75">
      <c r="A26" s="1" t="s">
        <v>19</v>
      </c>
      <c r="B26" s="7">
        <f t="shared" si="0"/>
        <v>0</v>
      </c>
      <c r="C26" s="1"/>
    </row>
    <row r="27" spans="1:3" ht="15.75">
      <c r="A27" s="1" t="s">
        <v>78</v>
      </c>
      <c r="B27" s="7">
        <f t="shared" si="0"/>
        <v>13119.313333333334</v>
      </c>
      <c r="C27" s="1">
        <v>157431.76</v>
      </c>
    </row>
    <row r="28" spans="1:3" ht="15.75">
      <c r="A28" s="6" t="s">
        <v>79</v>
      </c>
      <c r="B28" s="7">
        <f t="shared" si="0"/>
        <v>53413.455833333333</v>
      </c>
      <c r="C28" s="6">
        <f>SUM(C13:C27)</f>
        <v>640961.47</v>
      </c>
    </row>
    <row r="29" spans="1:3" ht="15.75">
      <c r="A29" s="6" t="s">
        <v>80</v>
      </c>
      <c r="B29" s="7"/>
      <c r="C29" s="6"/>
    </row>
    <row r="30" spans="1:3" ht="15.75">
      <c r="A30" s="6" t="s">
        <v>81</v>
      </c>
      <c r="B30" s="1"/>
      <c r="C30" s="6">
        <v>53006.97</v>
      </c>
    </row>
    <row r="31" spans="1:3" ht="15.75">
      <c r="A31" s="1" t="s">
        <v>33</v>
      </c>
      <c r="B31" s="6">
        <v>123714.72</v>
      </c>
      <c r="C31" s="1"/>
    </row>
    <row r="32" spans="1:3" ht="15.75">
      <c r="A32" s="1" t="s">
        <v>22</v>
      </c>
      <c r="B32" s="1"/>
      <c r="C32" s="1"/>
    </row>
    <row r="33" spans="1:3" ht="15.75">
      <c r="A33" s="1" t="s">
        <v>23</v>
      </c>
    </row>
    <row r="34" spans="1:3" ht="18.75">
      <c r="A34" s="1" t="s">
        <v>82</v>
      </c>
      <c r="C34" s="14">
        <v>16466.86</v>
      </c>
    </row>
    <row r="36" spans="1:3" ht="15.75">
      <c r="A36" s="10" t="s">
        <v>73</v>
      </c>
    </row>
    <row r="38" spans="1:3">
      <c r="A38" t="s">
        <v>75</v>
      </c>
    </row>
    <row r="39" spans="1:3">
      <c r="A39" t="s">
        <v>74</v>
      </c>
    </row>
    <row r="41" spans="1:3">
      <c r="A41" t="s">
        <v>76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C41"/>
  <sheetViews>
    <sheetView workbookViewId="0">
      <selection activeCell="C31" sqref="C31"/>
    </sheetView>
  </sheetViews>
  <sheetFormatPr defaultRowHeight="15"/>
  <cols>
    <col min="1" max="1" width="58.5703125" customWidth="1"/>
    <col min="2" max="2" width="13.28515625" customWidth="1"/>
    <col min="3" max="3" width="14.28515625" customWidth="1"/>
  </cols>
  <sheetData>
    <row r="1" spans="1:3" ht="15.75">
      <c r="A1" s="1" t="s">
        <v>0</v>
      </c>
    </row>
    <row r="2" spans="1:3" ht="15.75">
      <c r="A2" s="1" t="s">
        <v>107</v>
      </c>
      <c r="B2" s="1"/>
      <c r="C2" s="1"/>
    </row>
    <row r="3" spans="1:3" ht="15.75">
      <c r="A3" s="1" t="s">
        <v>92</v>
      </c>
      <c r="B3" s="1"/>
      <c r="C3" s="1"/>
    </row>
    <row r="4" spans="1:3" ht="15.75">
      <c r="A4" s="1" t="s">
        <v>28</v>
      </c>
      <c r="B4" s="1"/>
      <c r="C4" s="1"/>
    </row>
    <row r="5" spans="1:3" ht="15.75">
      <c r="A5" s="1" t="s">
        <v>77</v>
      </c>
      <c r="B5" s="1"/>
      <c r="C5" s="1"/>
    </row>
    <row r="6" spans="1:3" ht="15.75">
      <c r="A6" s="1"/>
      <c r="B6" s="1"/>
      <c r="C6" s="1"/>
    </row>
    <row r="7" spans="1:3" ht="15.75">
      <c r="A7" s="1" t="s">
        <v>1</v>
      </c>
      <c r="B7" s="1" t="s">
        <v>2</v>
      </c>
      <c r="C7" s="1" t="s">
        <v>3</v>
      </c>
    </row>
    <row r="8" spans="1:3" ht="15.75">
      <c r="A8" s="6" t="s">
        <v>138</v>
      </c>
      <c r="B8" s="2"/>
      <c r="C8" s="6">
        <v>-80126.009999999995</v>
      </c>
    </row>
    <row r="9" spans="1:3" ht="15.75">
      <c r="A9" s="1" t="s">
        <v>4</v>
      </c>
      <c r="B9" s="7">
        <f>C9/12</f>
        <v>42312.985000000001</v>
      </c>
      <c r="C9" s="1">
        <v>507755.82</v>
      </c>
    </row>
    <row r="10" spans="1:3" ht="15.75">
      <c r="A10" s="1" t="s">
        <v>31</v>
      </c>
      <c r="B10" s="7">
        <f t="shared" ref="B10:B28" si="0">C10/12</f>
        <v>6803.4758333333339</v>
      </c>
      <c r="C10" s="1">
        <v>81641.710000000006</v>
      </c>
    </row>
    <row r="11" spans="1:3" ht="15.75">
      <c r="A11" s="6" t="s">
        <v>17</v>
      </c>
      <c r="B11" s="7">
        <f t="shared" si="0"/>
        <v>49116.460833333338</v>
      </c>
      <c r="C11" s="6">
        <f>SUM(C9:C10)</f>
        <v>589397.53</v>
      </c>
    </row>
    <row r="12" spans="1:3" ht="15.75">
      <c r="A12" s="1" t="s">
        <v>18</v>
      </c>
      <c r="B12" s="7">
        <f t="shared" si="0"/>
        <v>0</v>
      </c>
      <c r="C12" s="1"/>
    </row>
    <row r="13" spans="1:3" ht="15.75">
      <c r="A13" s="1" t="s">
        <v>25</v>
      </c>
      <c r="B13" s="7">
        <f t="shared" si="0"/>
        <v>13390.884166666669</v>
      </c>
      <c r="C13" s="1">
        <f>131310.6+29380.01</f>
        <v>160690.61000000002</v>
      </c>
    </row>
    <row r="14" spans="1:3" ht="15.75">
      <c r="A14" s="1" t="s">
        <v>32</v>
      </c>
      <c r="B14" s="7">
        <f t="shared" si="0"/>
        <v>13179.626666666665</v>
      </c>
      <c r="C14" s="1">
        <f>39266.54+118888.98</f>
        <v>158155.51999999999</v>
      </c>
    </row>
    <row r="15" spans="1:3" ht="15.75">
      <c r="A15" s="1" t="s">
        <v>5</v>
      </c>
      <c r="B15" s="7">
        <f t="shared" si="0"/>
        <v>0</v>
      </c>
      <c r="C15" s="1"/>
    </row>
    <row r="16" spans="1:3" ht="15.75">
      <c r="A16" s="1" t="s">
        <v>6</v>
      </c>
      <c r="B16" s="7">
        <f t="shared" si="0"/>
        <v>6701.083333333333</v>
      </c>
      <c r="C16" s="1">
        <v>80413</v>
      </c>
    </row>
    <row r="17" spans="1:3" ht="15.75">
      <c r="A17" s="1" t="s">
        <v>7</v>
      </c>
      <c r="B17" s="7">
        <f t="shared" si="0"/>
        <v>1913.3500000000001</v>
      </c>
      <c r="C17" s="1">
        <v>22960.2</v>
      </c>
    </row>
    <row r="18" spans="1:3" ht="15.75">
      <c r="A18" s="1" t="s">
        <v>8</v>
      </c>
      <c r="B18" s="7">
        <f t="shared" si="0"/>
        <v>180.79999999999998</v>
      </c>
      <c r="C18" s="1">
        <v>2169.6</v>
      </c>
    </row>
    <row r="19" spans="1:3" ht="15.75">
      <c r="A19" s="1" t="s">
        <v>9</v>
      </c>
      <c r="B19" s="7">
        <f t="shared" si="0"/>
        <v>0</v>
      </c>
      <c r="C19" s="1"/>
    </row>
    <row r="20" spans="1:3" ht="15.75">
      <c r="A20" s="1" t="s">
        <v>10</v>
      </c>
      <c r="B20" s="7">
        <f t="shared" si="0"/>
        <v>758.02833333333331</v>
      </c>
      <c r="C20" s="1">
        <v>9096.34</v>
      </c>
    </row>
    <row r="21" spans="1:3" ht="15.75">
      <c r="A21" s="1" t="s">
        <v>11</v>
      </c>
      <c r="B21" s="7">
        <f t="shared" si="0"/>
        <v>2100.8283333333334</v>
      </c>
      <c r="C21" s="1">
        <v>25209.94</v>
      </c>
    </row>
    <row r="22" spans="1:3" ht="15.75">
      <c r="A22" s="1" t="s">
        <v>12</v>
      </c>
      <c r="B22" s="7">
        <f t="shared" si="0"/>
        <v>3826.0774999999999</v>
      </c>
      <c r="C22" s="1">
        <v>45912.93</v>
      </c>
    </row>
    <row r="23" spans="1:3" ht="15.75">
      <c r="A23" s="1" t="s">
        <v>13</v>
      </c>
      <c r="B23" s="7">
        <f t="shared" si="0"/>
        <v>383.18083333333334</v>
      </c>
      <c r="C23" s="1">
        <v>4598.17</v>
      </c>
    </row>
    <row r="24" spans="1:3" ht="15.75">
      <c r="A24" s="1" t="s">
        <v>14</v>
      </c>
      <c r="B24" s="7">
        <f t="shared" si="0"/>
        <v>2554.8441666666668</v>
      </c>
      <c r="C24" s="1">
        <v>30658.13</v>
      </c>
    </row>
    <row r="25" spans="1:3" ht="15.75">
      <c r="A25" s="1" t="s">
        <v>29</v>
      </c>
      <c r="B25" s="7">
        <f t="shared" si="0"/>
        <v>204.83166666666668</v>
      </c>
      <c r="C25" s="1">
        <v>2457.98</v>
      </c>
    </row>
    <row r="26" spans="1:3" ht="15.75">
      <c r="A26" s="1" t="s">
        <v>19</v>
      </c>
      <c r="B26" s="7">
        <f t="shared" si="0"/>
        <v>0</v>
      </c>
      <c r="C26" s="1"/>
    </row>
    <row r="27" spans="1:3" ht="15.75">
      <c r="A27" s="1" t="s">
        <v>78</v>
      </c>
      <c r="B27" s="7">
        <f t="shared" si="0"/>
        <v>9889.6324999999997</v>
      </c>
      <c r="C27" s="1">
        <v>118675.59</v>
      </c>
    </row>
    <row r="28" spans="1:3" ht="15.75">
      <c r="A28" s="6" t="s">
        <v>79</v>
      </c>
      <c r="B28" s="7">
        <f t="shared" si="0"/>
        <v>55083.167499999989</v>
      </c>
      <c r="C28" s="6">
        <f>SUM(C13:C27)</f>
        <v>660998.00999999989</v>
      </c>
    </row>
    <row r="29" spans="1:3" ht="15.75">
      <c r="A29" s="6" t="s">
        <v>80</v>
      </c>
      <c r="B29" s="7"/>
      <c r="C29" s="6"/>
    </row>
    <row r="30" spans="1:3" ht="15.75">
      <c r="A30" s="6" t="s">
        <v>81</v>
      </c>
      <c r="B30" s="1"/>
      <c r="C30" s="6">
        <v>151726.49</v>
      </c>
    </row>
    <row r="31" spans="1:3" ht="15.75">
      <c r="A31" s="1" t="s">
        <v>33</v>
      </c>
      <c r="B31" s="6">
        <v>19128.900000000001</v>
      </c>
      <c r="C31" s="1"/>
    </row>
    <row r="32" spans="1:3" ht="15.75">
      <c r="A32" s="1" t="s">
        <v>22</v>
      </c>
      <c r="B32" s="1"/>
      <c r="C32" s="1"/>
    </row>
    <row r="33" spans="1:2" ht="15.75">
      <c r="A33" s="1" t="s">
        <v>23</v>
      </c>
    </row>
    <row r="34" spans="1:2" ht="18.75">
      <c r="A34" s="1" t="s">
        <v>82</v>
      </c>
      <c r="B34" s="14">
        <v>707</v>
      </c>
    </row>
    <row r="35" spans="1:2" ht="31.5" customHeight="1"/>
    <row r="36" spans="1:2" ht="15.75">
      <c r="A36" s="10" t="s">
        <v>73</v>
      </c>
    </row>
    <row r="37" spans="1:2" ht="33.75" customHeight="1"/>
    <row r="38" spans="1:2">
      <c r="A38" t="s">
        <v>75</v>
      </c>
    </row>
    <row r="39" spans="1:2">
      <c r="A39" t="s">
        <v>74</v>
      </c>
    </row>
    <row r="41" spans="1:2">
      <c r="A41" t="s">
        <v>76</v>
      </c>
    </row>
  </sheetData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C41"/>
  <sheetViews>
    <sheetView topLeftCell="A23" workbookViewId="0">
      <selection activeCell="B34" sqref="B34"/>
    </sheetView>
  </sheetViews>
  <sheetFormatPr defaultRowHeight="15"/>
  <cols>
    <col min="1" max="1" width="58.42578125" customWidth="1"/>
    <col min="2" max="2" width="13" customWidth="1"/>
    <col min="3" max="3" width="14" customWidth="1"/>
  </cols>
  <sheetData>
    <row r="1" spans="1:3" ht="15.75">
      <c r="A1" s="1" t="s">
        <v>0</v>
      </c>
    </row>
    <row r="2" spans="1:3" ht="15.75">
      <c r="A2" s="1" t="s">
        <v>106</v>
      </c>
      <c r="B2" s="1"/>
      <c r="C2" s="1"/>
    </row>
    <row r="3" spans="1:3" ht="15.75">
      <c r="A3" s="1" t="s">
        <v>92</v>
      </c>
      <c r="B3" s="1"/>
      <c r="C3" s="1"/>
    </row>
    <row r="4" spans="1:3" ht="15.75">
      <c r="A4" s="1" t="s">
        <v>28</v>
      </c>
      <c r="B4" s="1"/>
      <c r="C4" s="1"/>
    </row>
    <row r="5" spans="1:3" ht="15.75">
      <c r="A5" s="1" t="s">
        <v>77</v>
      </c>
      <c r="B5" s="1"/>
      <c r="C5" s="1"/>
    </row>
    <row r="6" spans="1:3" ht="15.75">
      <c r="A6" s="1"/>
      <c r="B6" s="1"/>
      <c r="C6" s="1"/>
    </row>
    <row r="7" spans="1:3" ht="15.75">
      <c r="A7" s="1" t="s">
        <v>1</v>
      </c>
      <c r="B7" s="1" t="s">
        <v>2</v>
      </c>
      <c r="C7" s="1" t="s">
        <v>3</v>
      </c>
    </row>
    <row r="8" spans="1:3" ht="15.75">
      <c r="A8" s="1" t="s">
        <v>138</v>
      </c>
      <c r="B8" s="2"/>
      <c r="C8" s="6">
        <v>-36822.89</v>
      </c>
    </row>
    <row r="9" spans="1:3" ht="15.75">
      <c r="A9" s="1" t="s">
        <v>4</v>
      </c>
      <c r="B9" s="7">
        <f>C9/12</f>
        <v>56298.249166666668</v>
      </c>
      <c r="C9" s="1">
        <v>675578.99</v>
      </c>
    </row>
    <row r="10" spans="1:3" ht="15.75">
      <c r="A10" s="1" t="s">
        <v>31</v>
      </c>
      <c r="B10" s="7">
        <f t="shared" ref="B10:B28" si="0">C10/12</f>
        <v>11129.151666666667</v>
      </c>
      <c r="C10" s="1">
        <f>12618.25+120931.57</f>
        <v>133549.82</v>
      </c>
    </row>
    <row r="11" spans="1:3" ht="15.75">
      <c r="A11" s="6" t="s">
        <v>17</v>
      </c>
      <c r="B11" s="7">
        <f t="shared" si="0"/>
        <v>67427.400833333333</v>
      </c>
      <c r="C11" s="6">
        <f>SUM(C9:C10)</f>
        <v>809128.81</v>
      </c>
    </row>
    <row r="12" spans="1:3" ht="15.75">
      <c r="A12" s="1" t="s">
        <v>18</v>
      </c>
      <c r="B12" s="7">
        <f t="shared" si="0"/>
        <v>0</v>
      </c>
      <c r="C12" s="1"/>
    </row>
    <row r="13" spans="1:3" ht="15.75">
      <c r="A13" s="1" t="s">
        <v>25</v>
      </c>
      <c r="B13" s="7">
        <f t="shared" si="0"/>
        <v>13924.476666666667</v>
      </c>
      <c r="C13" s="1">
        <f>136543+30550.72</f>
        <v>167093.72</v>
      </c>
    </row>
    <row r="14" spans="1:3" ht="15.75">
      <c r="A14" s="1" t="s">
        <v>32</v>
      </c>
      <c r="B14" s="7">
        <f t="shared" si="0"/>
        <v>11516.656666666668</v>
      </c>
      <c r="C14" s="1">
        <f>60939.7+77260.18</f>
        <v>138199.88</v>
      </c>
    </row>
    <row r="15" spans="1:3" ht="15.75">
      <c r="A15" s="1" t="s">
        <v>5</v>
      </c>
      <c r="B15" s="7">
        <f t="shared" si="0"/>
        <v>5469.3600000000006</v>
      </c>
      <c r="C15" s="1">
        <v>65632.320000000007</v>
      </c>
    </row>
    <row r="16" spans="1:3" ht="15.75">
      <c r="A16" s="1" t="s">
        <v>6</v>
      </c>
      <c r="B16" s="7">
        <f t="shared" si="0"/>
        <v>6719.25</v>
      </c>
      <c r="C16" s="1">
        <v>80631</v>
      </c>
    </row>
    <row r="17" spans="1:3" ht="15.75">
      <c r="A17" s="1" t="s">
        <v>7</v>
      </c>
      <c r="B17" s="7">
        <f t="shared" si="0"/>
        <v>1915.05</v>
      </c>
      <c r="C17" s="1">
        <v>22980.6</v>
      </c>
    </row>
    <row r="18" spans="1:3" ht="15.75">
      <c r="A18" s="1" t="s">
        <v>8</v>
      </c>
      <c r="B18" s="7">
        <f t="shared" si="0"/>
        <v>78.760000000000005</v>
      </c>
      <c r="C18" s="1">
        <v>945.12</v>
      </c>
    </row>
    <row r="19" spans="1:3" ht="15.75">
      <c r="A19" s="1" t="s">
        <v>9</v>
      </c>
      <c r="B19" s="7">
        <f t="shared" si="0"/>
        <v>8937.33</v>
      </c>
      <c r="C19" s="1">
        <v>107247.96</v>
      </c>
    </row>
    <row r="20" spans="1:3" ht="15.75">
      <c r="A20" s="1" t="s">
        <v>10</v>
      </c>
      <c r="B20" s="7">
        <f t="shared" si="0"/>
        <v>739.07749999999999</v>
      </c>
      <c r="C20" s="1">
        <v>8868.93</v>
      </c>
    </row>
    <row r="21" spans="1:3" ht="15.75">
      <c r="A21" s="1" t="s">
        <v>11</v>
      </c>
      <c r="B21" s="7">
        <f t="shared" si="0"/>
        <v>2853.1616666666669</v>
      </c>
      <c r="C21" s="1">
        <v>34237.94</v>
      </c>
    </row>
    <row r="22" spans="1:3" ht="15.75">
      <c r="A22" s="1" t="s">
        <v>12</v>
      </c>
      <c r="B22" s="7">
        <f t="shared" si="0"/>
        <v>3978.5349999999999</v>
      </c>
      <c r="C22" s="1">
        <v>47742.42</v>
      </c>
    </row>
    <row r="23" spans="1:3" ht="15.75">
      <c r="A23" s="1" t="s">
        <v>13</v>
      </c>
      <c r="B23" s="7">
        <f t="shared" si="0"/>
        <v>128.15583333333333</v>
      </c>
      <c r="C23" s="1">
        <v>1537.87</v>
      </c>
    </row>
    <row r="24" spans="1:3" ht="15.75">
      <c r="A24" s="1" t="s">
        <v>14</v>
      </c>
      <c r="B24" s="7">
        <f t="shared" si="0"/>
        <v>3507.3075000000003</v>
      </c>
      <c r="C24" s="1">
        <v>42087.69</v>
      </c>
    </row>
    <row r="25" spans="1:3" ht="15.75">
      <c r="A25" s="1" t="s">
        <v>29</v>
      </c>
      <c r="B25" s="7">
        <f t="shared" si="0"/>
        <v>97.724166666666676</v>
      </c>
      <c r="C25" s="1">
        <v>1172.69</v>
      </c>
    </row>
    <row r="26" spans="1:3" ht="15.75">
      <c r="A26" s="1" t="s">
        <v>19</v>
      </c>
      <c r="B26" s="7">
        <f t="shared" si="0"/>
        <v>3871.6958333333332</v>
      </c>
      <c r="C26" s="1">
        <v>46460.35</v>
      </c>
    </row>
    <row r="27" spans="1:3" ht="15.75">
      <c r="A27" s="1" t="s">
        <v>78</v>
      </c>
      <c r="B27" s="7">
        <f t="shared" si="0"/>
        <v>10106.3475</v>
      </c>
      <c r="C27" s="1">
        <v>121276.17</v>
      </c>
    </row>
    <row r="28" spans="1:3" ht="15.75">
      <c r="A28" s="6" t="s">
        <v>79</v>
      </c>
      <c r="B28" s="7">
        <f t="shared" si="0"/>
        <v>73842.888333333321</v>
      </c>
      <c r="C28" s="6">
        <f>SUM(C13:C27)</f>
        <v>886114.65999999992</v>
      </c>
    </row>
    <row r="29" spans="1:3" ht="15.75">
      <c r="A29" s="6" t="s">
        <v>80</v>
      </c>
      <c r="B29" s="7"/>
      <c r="C29" s="6"/>
    </row>
    <row r="30" spans="1:3" ht="15.75">
      <c r="A30" s="6" t="s">
        <v>81</v>
      </c>
      <c r="B30" s="1"/>
      <c r="C30" s="6">
        <v>113808.74</v>
      </c>
    </row>
    <row r="31" spans="1:3" ht="15.75">
      <c r="A31" s="1" t="s">
        <v>33</v>
      </c>
      <c r="B31" s="6">
        <v>23380.92</v>
      </c>
      <c r="C31" s="1"/>
    </row>
    <row r="32" spans="1:3" ht="15.75">
      <c r="A32" s="1" t="s">
        <v>22</v>
      </c>
      <c r="B32" s="1"/>
      <c r="C32" s="1"/>
    </row>
    <row r="33" spans="1:2" ht="15.75">
      <c r="A33" s="1" t="s">
        <v>23</v>
      </c>
    </row>
    <row r="34" spans="1:2" ht="15.75">
      <c r="A34" s="1" t="s">
        <v>137</v>
      </c>
      <c r="B34" s="4">
        <v>62262</v>
      </c>
    </row>
    <row r="35" spans="1:2" ht="39.75" customHeight="1"/>
    <row r="36" spans="1:2" ht="15.75">
      <c r="A36" s="10" t="s">
        <v>73</v>
      </c>
    </row>
    <row r="38" spans="1:2">
      <c r="A38" t="s">
        <v>75</v>
      </c>
    </row>
    <row r="39" spans="1:2">
      <c r="A39" t="s">
        <v>74</v>
      </c>
    </row>
    <row r="41" spans="1:2">
      <c r="A41" t="s">
        <v>76</v>
      </c>
    </row>
  </sheetData>
  <pageMargins left="0.7" right="0.7" top="0.75" bottom="0.75" header="0.3" footer="0.3"/>
  <pageSetup paperSize="9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C41"/>
  <sheetViews>
    <sheetView topLeftCell="A21" workbookViewId="0">
      <selection activeCell="B34" sqref="B34"/>
    </sheetView>
  </sheetViews>
  <sheetFormatPr defaultRowHeight="15"/>
  <cols>
    <col min="1" max="1" width="58.28515625" customWidth="1"/>
    <col min="2" max="2" width="13.28515625" customWidth="1"/>
    <col min="3" max="3" width="14.42578125" customWidth="1"/>
  </cols>
  <sheetData>
    <row r="1" spans="1:3" ht="15.75">
      <c r="A1" s="1" t="s">
        <v>0</v>
      </c>
    </row>
    <row r="2" spans="1:3" ht="15.75">
      <c r="A2" s="1" t="s">
        <v>105</v>
      </c>
      <c r="B2" s="1"/>
      <c r="C2" s="1"/>
    </row>
    <row r="3" spans="1:3" ht="15.75">
      <c r="A3" s="1" t="s">
        <v>92</v>
      </c>
      <c r="B3" s="1"/>
      <c r="C3" s="1"/>
    </row>
    <row r="4" spans="1:3" ht="15.75">
      <c r="A4" s="1" t="s">
        <v>28</v>
      </c>
      <c r="B4" s="1"/>
      <c r="C4" s="1"/>
    </row>
    <row r="5" spans="1:3" ht="15.75">
      <c r="A5" s="1" t="s">
        <v>77</v>
      </c>
      <c r="B5" s="1"/>
      <c r="C5" s="1"/>
    </row>
    <row r="6" spans="1:3" ht="15.75">
      <c r="A6" s="1"/>
      <c r="B6" s="1"/>
      <c r="C6" s="1"/>
    </row>
    <row r="7" spans="1:3" ht="15.75">
      <c r="A7" s="1" t="s">
        <v>1</v>
      </c>
      <c r="B7" s="1" t="s">
        <v>2</v>
      </c>
      <c r="C7" s="1" t="s">
        <v>3</v>
      </c>
    </row>
    <row r="8" spans="1:3" ht="15.75">
      <c r="A8" s="1" t="s">
        <v>138</v>
      </c>
      <c r="B8" s="2"/>
      <c r="C8" s="6">
        <v>-53904.86</v>
      </c>
    </row>
    <row r="9" spans="1:3" ht="15.75">
      <c r="A9" s="1" t="s">
        <v>4</v>
      </c>
      <c r="B9" s="7">
        <f>C9/12</f>
        <v>57004.744999999995</v>
      </c>
      <c r="C9" s="1">
        <v>684056.94</v>
      </c>
    </row>
    <row r="10" spans="1:3" ht="15.75">
      <c r="A10" s="1" t="s">
        <v>31</v>
      </c>
      <c r="B10" s="7">
        <f t="shared" ref="B10:B28" si="0">C10/12</f>
        <v>633.33333333333337</v>
      </c>
      <c r="C10" s="1">
        <v>7600</v>
      </c>
    </row>
    <row r="11" spans="1:3" ht="15.75">
      <c r="A11" s="6" t="s">
        <v>17</v>
      </c>
      <c r="B11" s="7">
        <f t="shared" si="0"/>
        <v>57638.078333333331</v>
      </c>
      <c r="C11" s="6">
        <f>SUM(C9:C10)</f>
        <v>691656.94</v>
      </c>
    </row>
    <row r="12" spans="1:3" ht="15.75">
      <c r="A12" s="1" t="s">
        <v>18</v>
      </c>
      <c r="B12" s="7">
        <f t="shared" si="0"/>
        <v>0</v>
      </c>
      <c r="C12" s="1"/>
    </row>
    <row r="13" spans="1:3" ht="15.75">
      <c r="A13" s="1" t="s">
        <v>25</v>
      </c>
      <c r="B13" s="7">
        <f t="shared" si="0"/>
        <v>12878.470833333333</v>
      </c>
      <c r="C13" s="1">
        <f>126285.9+28255.75</f>
        <v>154541.65</v>
      </c>
    </row>
    <row r="14" spans="1:3" ht="15.75">
      <c r="A14" s="1" t="s">
        <v>32</v>
      </c>
      <c r="B14" s="7">
        <f t="shared" si="0"/>
        <v>14196.974166666667</v>
      </c>
      <c r="C14" s="1">
        <f>78560.59+91803.1</f>
        <v>170363.69</v>
      </c>
    </row>
    <row r="15" spans="1:3" ht="15.75">
      <c r="A15" s="1" t="s">
        <v>5</v>
      </c>
      <c r="B15" s="7">
        <f t="shared" si="0"/>
        <v>5819.96</v>
      </c>
      <c r="C15" s="1">
        <v>69839.520000000004</v>
      </c>
    </row>
    <row r="16" spans="1:3" ht="15.75">
      <c r="A16" s="1" t="s">
        <v>6</v>
      </c>
      <c r="B16" s="7">
        <f t="shared" si="0"/>
        <v>2796.4166666666665</v>
      </c>
      <c r="C16" s="1">
        <v>33557</v>
      </c>
    </row>
    <row r="17" spans="1:3" ht="15.75">
      <c r="A17" s="1" t="s">
        <v>7</v>
      </c>
      <c r="B17" s="7">
        <f t="shared" si="0"/>
        <v>1619.21</v>
      </c>
      <c r="C17" s="1">
        <v>19430.52</v>
      </c>
    </row>
    <row r="18" spans="1:3" ht="15.75">
      <c r="A18" s="1" t="s">
        <v>8</v>
      </c>
      <c r="B18" s="7">
        <f t="shared" si="0"/>
        <v>69.959999999999994</v>
      </c>
      <c r="C18" s="1">
        <v>839.52</v>
      </c>
    </row>
    <row r="19" spans="1:3" ht="15.75">
      <c r="A19" s="1" t="s">
        <v>9</v>
      </c>
      <c r="B19" s="7">
        <f t="shared" si="0"/>
        <v>8265.9600000000009</v>
      </c>
      <c r="C19" s="1">
        <v>99191.52</v>
      </c>
    </row>
    <row r="20" spans="1:3" ht="15.75">
      <c r="A20" s="1" t="s">
        <v>10</v>
      </c>
      <c r="B20" s="7">
        <f t="shared" si="0"/>
        <v>786.45499999999993</v>
      </c>
      <c r="C20" s="1">
        <v>9437.4599999999991</v>
      </c>
    </row>
    <row r="21" spans="1:3" ht="15.75">
      <c r="A21" s="1" t="s">
        <v>11</v>
      </c>
      <c r="B21" s="7">
        <f t="shared" si="0"/>
        <v>2830.6433333333334</v>
      </c>
      <c r="C21" s="1">
        <v>33967.72</v>
      </c>
    </row>
    <row r="22" spans="1:3" ht="15.75">
      <c r="A22" s="1" t="s">
        <v>12</v>
      </c>
      <c r="B22" s="7">
        <f t="shared" si="0"/>
        <v>3679.6683333333331</v>
      </c>
      <c r="C22" s="1">
        <v>44156.02</v>
      </c>
    </row>
    <row r="23" spans="1:3" ht="15.75">
      <c r="A23" s="1" t="s">
        <v>13</v>
      </c>
      <c r="B23" s="7">
        <f t="shared" si="0"/>
        <v>181.54333333333332</v>
      </c>
      <c r="C23" s="1">
        <v>2178.52</v>
      </c>
    </row>
    <row r="24" spans="1:3" ht="15.75">
      <c r="A24" s="1" t="s">
        <v>14</v>
      </c>
      <c r="B24" s="7">
        <f t="shared" si="0"/>
        <v>2998.105</v>
      </c>
      <c r="C24" s="1">
        <v>35977.26</v>
      </c>
    </row>
    <row r="25" spans="1:3" ht="15.75">
      <c r="A25" s="1" t="s">
        <v>29</v>
      </c>
      <c r="B25" s="7">
        <f t="shared" si="0"/>
        <v>98.352500000000006</v>
      </c>
      <c r="C25" s="1">
        <v>1180.23</v>
      </c>
    </row>
    <row r="26" spans="1:3" ht="15.75">
      <c r="A26" s="1" t="s">
        <v>19</v>
      </c>
      <c r="B26" s="7">
        <f t="shared" si="0"/>
        <v>82.5</v>
      </c>
      <c r="C26" s="1">
        <v>990</v>
      </c>
    </row>
    <row r="27" spans="1:3" ht="15.75">
      <c r="A27" s="1" t="s">
        <v>78</v>
      </c>
      <c r="B27" s="7">
        <f t="shared" si="0"/>
        <v>10411.879999999999</v>
      </c>
      <c r="C27" s="1">
        <v>124942.56</v>
      </c>
    </row>
    <row r="28" spans="1:3" ht="15.75">
      <c r="A28" s="6" t="s">
        <v>79</v>
      </c>
      <c r="B28" s="7">
        <f t="shared" si="0"/>
        <v>66716.099166666667</v>
      </c>
      <c r="C28" s="6">
        <f>SUM(C13:C27)</f>
        <v>800593.19</v>
      </c>
    </row>
    <row r="29" spans="1:3" ht="15.75">
      <c r="A29" s="6" t="s">
        <v>80</v>
      </c>
      <c r="B29" s="7"/>
      <c r="C29" s="6"/>
    </row>
    <row r="30" spans="1:3" ht="15.75">
      <c r="A30" s="6" t="s">
        <v>81</v>
      </c>
      <c r="B30" s="1"/>
      <c r="C30" s="6">
        <v>162841.10999999999</v>
      </c>
    </row>
    <row r="31" spans="1:3" ht="15.75">
      <c r="A31" s="1" t="s">
        <v>33</v>
      </c>
      <c r="B31" s="6">
        <v>108567.59</v>
      </c>
      <c r="C31" s="1"/>
    </row>
    <row r="32" spans="1:3" ht="15.75">
      <c r="A32" s="1" t="s">
        <v>22</v>
      </c>
      <c r="B32" s="1"/>
      <c r="C32" s="1"/>
    </row>
    <row r="33" spans="1:2" ht="15.75">
      <c r="A33" s="1" t="s">
        <v>23</v>
      </c>
    </row>
    <row r="34" spans="1:2" ht="15.75">
      <c r="A34" s="1" t="s">
        <v>82</v>
      </c>
      <c r="B34" s="4">
        <v>62262</v>
      </c>
    </row>
    <row r="35" spans="1:2" ht="36.75" customHeight="1"/>
    <row r="36" spans="1:2" ht="15.75">
      <c r="A36" s="10" t="s">
        <v>73</v>
      </c>
    </row>
    <row r="38" spans="1:2">
      <c r="A38" t="s">
        <v>75</v>
      </c>
    </row>
    <row r="39" spans="1:2">
      <c r="A39" t="s">
        <v>74</v>
      </c>
    </row>
    <row r="41" spans="1:2">
      <c r="A41" t="s">
        <v>76</v>
      </c>
    </row>
  </sheetData>
  <pageMargins left="0.7" right="0.7" top="0.75" bottom="0.75" header="0.3" footer="0.3"/>
  <pageSetup paperSize="9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C41"/>
  <sheetViews>
    <sheetView topLeftCell="A3" workbookViewId="0">
      <selection activeCell="E33" sqref="E33"/>
    </sheetView>
  </sheetViews>
  <sheetFormatPr defaultRowHeight="15"/>
  <cols>
    <col min="1" max="1" width="58.42578125" customWidth="1"/>
    <col min="2" max="2" width="13.7109375" customWidth="1"/>
    <col min="3" max="3" width="14" customWidth="1"/>
  </cols>
  <sheetData>
    <row r="1" spans="1:3" ht="15.75">
      <c r="A1" s="1" t="s">
        <v>0</v>
      </c>
    </row>
    <row r="2" spans="1:3" ht="15.75">
      <c r="A2" s="1" t="s">
        <v>104</v>
      </c>
      <c r="B2" s="1"/>
      <c r="C2" s="1"/>
    </row>
    <row r="3" spans="1:3" ht="15.75">
      <c r="A3" s="1" t="s">
        <v>92</v>
      </c>
      <c r="B3" s="1"/>
      <c r="C3" s="1"/>
    </row>
    <row r="4" spans="1:3" ht="15.75">
      <c r="A4" s="1" t="s">
        <v>28</v>
      </c>
      <c r="B4" s="1"/>
      <c r="C4" s="1"/>
    </row>
    <row r="5" spans="1:3" ht="15.75">
      <c r="A5" s="1" t="s">
        <v>77</v>
      </c>
      <c r="B5" s="1"/>
      <c r="C5" s="1"/>
    </row>
    <row r="6" spans="1:3" ht="15.75">
      <c r="A6" s="1"/>
      <c r="B6" s="1"/>
      <c r="C6" s="1"/>
    </row>
    <row r="7" spans="1:3" ht="15.75">
      <c r="A7" s="1" t="s">
        <v>1</v>
      </c>
      <c r="B7" s="1" t="s">
        <v>2</v>
      </c>
      <c r="C7" s="1" t="s">
        <v>3</v>
      </c>
    </row>
    <row r="8" spans="1:3" ht="15.75">
      <c r="A8" s="6" t="s">
        <v>138</v>
      </c>
      <c r="B8" s="2"/>
      <c r="C8" s="6">
        <v>-52525.65</v>
      </c>
    </row>
    <row r="9" spans="1:3" ht="15.75">
      <c r="A9" s="1" t="s">
        <v>4</v>
      </c>
      <c r="B9" s="7">
        <f>C9/12</f>
        <v>106851.33166666667</v>
      </c>
      <c r="C9" s="1">
        <v>1282215.98</v>
      </c>
    </row>
    <row r="10" spans="1:3" ht="15.75">
      <c r="A10" s="1" t="s">
        <v>31</v>
      </c>
      <c r="B10" s="7">
        <f t="shared" ref="B10:B28" si="0">C10/12</f>
        <v>12526.218333333332</v>
      </c>
      <c r="C10" s="1">
        <v>150314.62</v>
      </c>
    </row>
    <row r="11" spans="1:3" ht="15.75">
      <c r="A11" s="6" t="s">
        <v>17</v>
      </c>
      <c r="B11" s="7">
        <f t="shared" si="0"/>
        <v>119377.55</v>
      </c>
      <c r="C11" s="6">
        <f>SUM(C9:C10)</f>
        <v>1432530.6</v>
      </c>
    </row>
    <row r="12" spans="1:3" ht="15.75">
      <c r="A12" s="1" t="s">
        <v>18</v>
      </c>
      <c r="B12" s="7">
        <f t="shared" si="0"/>
        <v>0</v>
      </c>
      <c r="C12" s="1"/>
    </row>
    <row r="13" spans="1:3" ht="15.75">
      <c r="A13" s="1" t="s">
        <v>25</v>
      </c>
      <c r="B13" s="7">
        <f t="shared" si="0"/>
        <v>31500.452499999999</v>
      </c>
      <c r="C13" s="1">
        <f>308892.5+69112.93</f>
        <v>378005.43</v>
      </c>
    </row>
    <row r="14" spans="1:3" ht="15.75">
      <c r="A14" s="1" t="s">
        <v>32</v>
      </c>
      <c r="B14" s="7">
        <f t="shared" si="0"/>
        <v>28356.724999999995</v>
      </c>
      <c r="C14" s="1">
        <f>75324.29+264956.41</f>
        <v>340280.69999999995</v>
      </c>
    </row>
    <row r="15" spans="1:3" ht="15.75">
      <c r="A15" s="1" t="s">
        <v>5</v>
      </c>
      <c r="B15" s="7">
        <f t="shared" si="0"/>
        <v>0</v>
      </c>
      <c r="C15" s="1"/>
    </row>
    <row r="16" spans="1:3" ht="15.75">
      <c r="A16" s="1" t="s">
        <v>6</v>
      </c>
      <c r="B16" s="7">
        <f t="shared" si="0"/>
        <v>25369.916666666668</v>
      </c>
      <c r="C16" s="1">
        <v>304439</v>
      </c>
    </row>
    <row r="17" spans="1:3" ht="15.75">
      <c r="A17" s="1" t="s">
        <v>7</v>
      </c>
      <c r="B17" s="7">
        <f t="shared" si="0"/>
        <v>4471.9033333333327</v>
      </c>
      <c r="C17" s="1">
        <v>53662.84</v>
      </c>
    </row>
    <row r="18" spans="1:3" ht="15.75">
      <c r="A18" s="1" t="s">
        <v>8</v>
      </c>
      <c r="B18" s="7">
        <f t="shared" si="0"/>
        <v>514.14666666666665</v>
      </c>
      <c r="C18" s="1">
        <v>6169.76</v>
      </c>
    </row>
    <row r="19" spans="1:3" ht="15.75">
      <c r="A19" s="1" t="s">
        <v>9</v>
      </c>
      <c r="B19" s="7">
        <f t="shared" si="0"/>
        <v>0</v>
      </c>
      <c r="C19" s="1"/>
    </row>
    <row r="20" spans="1:3" ht="15.75">
      <c r="A20" s="1" t="s">
        <v>10</v>
      </c>
      <c r="B20" s="7">
        <f t="shared" si="0"/>
        <v>1914.0225</v>
      </c>
      <c r="C20" s="1">
        <v>22968.27</v>
      </c>
    </row>
    <row r="21" spans="1:3" ht="15.75">
      <c r="A21" s="1" t="s">
        <v>11</v>
      </c>
      <c r="B21" s="7">
        <f t="shared" si="0"/>
        <v>5403.3358333333335</v>
      </c>
      <c r="C21" s="1">
        <v>64840.03</v>
      </c>
    </row>
    <row r="22" spans="1:3" ht="15.75">
      <c r="A22" s="1" t="s">
        <v>12</v>
      </c>
      <c r="B22" s="7">
        <f t="shared" si="0"/>
        <v>9000.3858333333337</v>
      </c>
      <c r="C22" s="1">
        <v>108004.63</v>
      </c>
    </row>
    <row r="23" spans="1:3" ht="15.75">
      <c r="A23" s="1" t="s">
        <v>13</v>
      </c>
      <c r="B23" s="7">
        <f t="shared" si="0"/>
        <v>133.48833333333332</v>
      </c>
      <c r="C23" s="1">
        <v>1601.86</v>
      </c>
    </row>
    <row r="24" spans="1:3" ht="15.75">
      <c r="A24" s="1" t="s">
        <v>14</v>
      </c>
      <c r="B24" s="7">
        <f t="shared" si="0"/>
        <v>6209.5491666666667</v>
      </c>
      <c r="C24" s="1">
        <v>74514.59</v>
      </c>
    </row>
    <row r="25" spans="1:3" ht="15.75">
      <c r="A25" s="1" t="s">
        <v>29</v>
      </c>
      <c r="B25" s="7">
        <f t="shared" si="0"/>
        <v>608.83916666666664</v>
      </c>
      <c r="C25" s="1">
        <v>7306.07</v>
      </c>
    </row>
    <row r="26" spans="1:3" ht="15.75">
      <c r="A26" s="1" t="s">
        <v>19</v>
      </c>
      <c r="B26" s="7">
        <f t="shared" si="0"/>
        <v>59.44083333333333</v>
      </c>
      <c r="C26" s="1">
        <v>713.29</v>
      </c>
    </row>
    <row r="27" spans="1:3" ht="15.75">
      <c r="A27" s="1" t="s">
        <v>78</v>
      </c>
      <c r="B27" s="7">
        <f t="shared" si="0"/>
        <v>25642.045833333334</v>
      </c>
      <c r="C27" s="1">
        <v>307704.55</v>
      </c>
    </row>
    <row r="28" spans="1:3" ht="15.75">
      <c r="A28" s="6" t="s">
        <v>79</v>
      </c>
      <c r="B28" s="7">
        <f t="shared" si="0"/>
        <v>139184.25166666671</v>
      </c>
      <c r="C28" s="6">
        <f>SUM(C13:C27)</f>
        <v>1670211.0200000005</v>
      </c>
    </row>
    <row r="29" spans="1:3" ht="15.75">
      <c r="A29" s="6" t="s">
        <v>80</v>
      </c>
      <c r="B29" s="7"/>
      <c r="C29" s="6"/>
    </row>
    <row r="30" spans="1:3" ht="15.75">
      <c r="A30" s="6" t="s">
        <v>81</v>
      </c>
      <c r="B30" s="1"/>
      <c r="C30" s="6">
        <v>290206.07</v>
      </c>
    </row>
    <row r="31" spans="1:3" ht="15.75">
      <c r="A31" s="1" t="s">
        <v>33</v>
      </c>
      <c r="B31" s="6">
        <v>758241.64</v>
      </c>
      <c r="C31" s="1"/>
    </row>
    <row r="32" spans="1:3" ht="15.75">
      <c r="A32" s="1" t="s">
        <v>22</v>
      </c>
      <c r="B32" s="1"/>
      <c r="C32" s="1"/>
    </row>
    <row r="33" spans="1:2" ht="15.75">
      <c r="A33" s="1" t="s">
        <v>23</v>
      </c>
    </row>
    <row r="34" spans="1:2" ht="15.75">
      <c r="A34" s="1" t="s">
        <v>82</v>
      </c>
      <c r="B34" s="13">
        <v>0</v>
      </c>
    </row>
    <row r="35" spans="1:2" ht="37.5" customHeight="1"/>
    <row r="36" spans="1:2" ht="15.75">
      <c r="A36" s="10" t="s">
        <v>73</v>
      </c>
    </row>
    <row r="38" spans="1:2">
      <c r="A38" t="s">
        <v>75</v>
      </c>
    </row>
    <row r="39" spans="1:2">
      <c r="A39" t="s">
        <v>74</v>
      </c>
    </row>
    <row r="41" spans="1:2">
      <c r="A41" t="s">
        <v>76</v>
      </c>
    </row>
  </sheetData>
  <pageMargins left="0.7" right="0.7" top="0.75" bottom="0.75" header="0.3" footer="0.3"/>
  <pageSetup paperSize="9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C41"/>
  <sheetViews>
    <sheetView topLeftCell="A5" workbookViewId="0">
      <selection activeCell="B34" sqref="B34"/>
    </sheetView>
  </sheetViews>
  <sheetFormatPr defaultRowHeight="15"/>
  <cols>
    <col min="1" max="1" width="58.28515625" customWidth="1"/>
    <col min="2" max="2" width="13.5703125" customWidth="1"/>
    <col min="3" max="3" width="14.140625" customWidth="1"/>
  </cols>
  <sheetData>
    <row r="1" spans="1:3" ht="15.75">
      <c r="A1" s="1" t="s">
        <v>0</v>
      </c>
    </row>
    <row r="2" spans="1:3" ht="15.75">
      <c r="A2" s="1" t="s">
        <v>103</v>
      </c>
      <c r="B2" s="1"/>
      <c r="C2" s="1"/>
    </row>
    <row r="3" spans="1:3" ht="15.75">
      <c r="A3" s="1" t="s">
        <v>92</v>
      </c>
      <c r="B3" s="1"/>
      <c r="C3" s="1"/>
    </row>
    <row r="4" spans="1:3" ht="15.75">
      <c r="A4" s="1" t="s">
        <v>28</v>
      </c>
      <c r="B4" s="1"/>
      <c r="C4" s="1"/>
    </row>
    <row r="5" spans="1:3" ht="15.75">
      <c r="A5" s="1" t="s">
        <v>77</v>
      </c>
      <c r="B5" s="1"/>
      <c r="C5" s="1"/>
    </row>
    <row r="6" spans="1:3" ht="15.75">
      <c r="A6" s="1"/>
      <c r="B6" s="1"/>
      <c r="C6" s="1"/>
    </row>
    <row r="7" spans="1:3" ht="15.75">
      <c r="A7" s="1" t="s">
        <v>1</v>
      </c>
      <c r="B7" s="1" t="s">
        <v>2</v>
      </c>
      <c r="C7" s="1" t="s">
        <v>3</v>
      </c>
    </row>
    <row r="8" spans="1:3" ht="15.75">
      <c r="A8" s="6" t="s">
        <v>138</v>
      </c>
      <c r="B8" s="2"/>
      <c r="C8" s="6">
        <v>-16685.689999999999</v>
      </c>
    </row>
    <row r="9" spans="1:3" ht="15.75">
      <c r="A9" s="1" t="s">
        <v>4</v>
      </c>
      <c r="B9" s="7">
        <f>C9/12</f>
        <v>65206.858333333337</v>
      </c>
      <c r="C9" s="1">
        <v>782482.3</v>
      </c>
    </row>
    <row r="10" spans="1:3" ht="15.75">
      <c r="A10" s="1" t="s">
        <v>31</v>
      </c>
      <c r="B10" s="7">
        <f t="shared" ref="B10:B28" si="0">C10/12</f>
        <v>1666.6666666666667</v>
      </c>
      <c r="C10" s="1">
        <v>20000</v>
      </c>
    </row>
    <row r="11" spans="1:3" ht="15.75">
      <c r="A11" s="6" t="s">
        <v>17</v>
      </c>
      <c r="B11" s="7">
        <f t="shared" si="0"/>
        <v>66873.525000000009</v>
      </c>
      <c r="C11" s="6">
        <f>SUM(C9:C10)</f>
        <v>802482.3</v>
      </c>
    </row>
    <row r="12" spans="1:3" ht="15.75">
      <c r="A12" s="1" t="s">
        <v>18</v>
      </c>
      <c r="B12" s="7">
        <f t="shared" si="0"/>
        <v>0</v>
      </c>
      <c r="C12" s="1"/>
    </row>
    <row r="13" spans="1:3" ht="15.75">
      <c r="A13" s="1" t="s">
        <v>25</v>
      </c>
      <c r="B13" s="7">
        <f t="shared" si="0"/>
        <v>16915.889166666668</v>
      </c>
      <c r="C13" s="1">
        <f>165876.7+37113.97</f>
        <v>202990.67</v>
      </c>
    </row>
    <row r="14" spans="1:3" ht="15.75">
      <c r="A14" s="1" t="s">
        <v>32</v>
      </c>
      <c r="B14" s="7">
        <f t="shared" si="0"/>
        <v>12213.405833333332</v>
      </c>
      <c r="C14" s="1">
        <f>54182.88+92377.99</f>
        <v>146560.87</v>
      </c>
    </row>
    <row r="15" spans="1:3" ht="15.75">
      <c r="A15" s="1" t="s">
        <v>5</v>
      </c>
      <c r="B15" s="7">
        <f t="shared" si="0"/>
        <v>0</v>
      </c>
      <c r="C15" s="1"/>
    </row>
    <row r="16" spans="1:3" ht="15.75">
      <c r="A16" s="1" t="s">
        <v>6</v>
      </c>
      <c r="B16" s="7">
        <f t="shared" si="0"/>
        <v>4561.916666666667</v>
      </c>
      <c r="C16" s="1">
        <v>54743</v>
      </c>
    </row>
    <row r="17" spans="1:3" ht="15.75">
      <c r="A17" s="1" t="s">
        <v>7</v>
      </c>
      <c r="B17" s="7">
        <f t="shared" si="0"/>
        <v>2423.65</v>
      </c>
      <c r="C17" s="1">
        <v>29083.8</v>
      </c>
    </row>
    <row r="18" spans="1:3" ht="15.75">
      <c r="A18" s="1" t="s">
        <v>8</v>
      </c>
      <c r="B18" s="7">
        <f t="shared" si="0"/>
        <v>216.91</v>
      </c>
      <c r="C18" s="1">
        <v>2602.92</v>
      </c>
    </row>
    <row r="19" spans="1:3" ht="15.75">
      <c r="A19" s="1" t="s">
        <v>9</v>
      </c>
      <c r="B19" s="7">
        <f t="shared" si="0"/>
        <v>0</v>
      </c>
      <c r="C19" s="1"/>
    </row>
    <row r="20" spans="1:3" ht="15.75">
      <c r="A20" s="1" t="s">
        <v>10</v>
      </c>
      <c r="B20" s="7">
        <f t="shared" si="0"/>
        <v>1174.9441666666667</v>
      </c>
      <c r="C20" s="1">
        <v>14099.33</v>
      </c>
    </row>
    <row r="21" spans="1:3" ht="15.75">
      <c r="A21" s="1" t="s">
        <v>11</v>
      </c>
      <c r="B21" s="7">
        <f t="shared" si="0"/>
        <v>3242.0033333333336</v>
      </c>
      <c r="C21" s="1">
        <v>38904.04</v>
      </c>
    </row>
    <row r="22" spans="1:3" ht="15.75">
      <c r="A22" s="1" t="s">
        <v>12</v>
      </c>
      <c r="B22" s="7">
        <f t="shared" si="0"/>
        <v>4833.25</v>
      </c>
      <c r="C22" s="1">
        <v>57999</v>
      </c>
    </row>
    <row r="23" spans="1:3" ht="15.75">
      <c r="A23" s="1" t="s">
        <v>13</v>
      </c>
      <c r="B23" s="7">
        <f t="shared" si="0"/>
        <v>81.157499999999999</v>
      </c>
      <c r="C23" s="1">
        <v>973.89</v>
      </c>
    </row>
    <row r="24" spans="1:3" ht="15.75">
      <c r="A24" s="1" t="s">
        <v>14</v>
      </c>
      <c r="B24" s="7">
        <f t="shared" si="0"/>
        <v>3478.4966666666664</v>
      </c>
      <c r="C24" s="1">
        <v>41741.96</v>
      </c>
    </row>
    <row r="25" spans="1:3" ht="15.75">
      <c r="A25" s="1" t="s">
        <v>29</v>
      </c>
      <c r="B25" s="7">
        <f t="shared" si="0"/>
        <v>412.46083333333331</v>
      </c>
      <c r="C25" s="1">
        <v>4949.53</v>
      </c>
    </row>
    <row r="26" spans="1:3" ht="15.75">
      <c r="A26" s="1" t="s">
        <v>19</v>
      </c>
      <c r="B26" s="7">
        <f t="shared" si="0"/>
        <v>2070</v>
      </c>
      <c r="C26" s="1">
        <v>24840</v>
      </c>
    </row>
    <row r="27" spans="1:3" ht="15.75">
      <c r="A27" s="1" t="s">
        <v>78</v>
      </c>
      <c r="B27" s="7">
        <f t="shared" si="0"/>
        <v>15584.615833333335</v>
      </c>
      <c r="C27" s="1">
        <v>187015.39</v>
      </c>
    </row>
    <row r="28" spans="1:3" ht="15.75">
      <c r="A28" s="6" t="s">
        <v>79</v>
      </c>
      <c r="B28" s="7">
        <f t="shared" si="0"/>
        <v>67208.7</v>
      </c>
      <c r="C28" s="6">
        <f>SUM(C13:C27)</f>
        <v>806504.4</v>
      </c>
    </row>
    <row r="29" spans="1:3" ht="15.75">
      <c r="A29" s="6" t="s">
        <v>80</v>
      </c>
      <c r="B29" s="7"/>
      <c r="C29" s="6"/>
    </row>
    <row r="30" spans="1:3" ht="15.75">
      <c r="A30" s="6" t="s">
        <v>81</v>
      </c>
      <c r="B30" s="1"/>
      <c r="C30" s="6">
        <v>20707.79</v>
      </c>
    </row>
    <row r="31" spans="1:3" ht="15.75">
      <c r="A31" s="1" t="s">
        <v>33</v>
      </c>
      <c r="B31" s="6">
        <v>398975.32</v>
      </c>
      <c r="C31" s="1"/>
    </row>
    <row r="32" spans="1:3" ht="15.75">
      <c r="A32" s="1" t="s">
        <v>22</v>
      </c>
      <c r="B32" s="1"/>
      <c r="C32" s="1"/>
    </row>
    <row r="33" spans="1:2" ht="15.75">
      <c r="A33" s="1" t="s">
        <v>23</v>
      </c>
    </row>
    <row r="34" spans="1:2" ht="15.75">
      <c r="A34" s="1" t="s">
        <v>82</v>
      </c>
      <c r="B34" s="4">
        <v>45349</v>
      </c>
    </row>
    <row r="35" spans="1:2" ht="39.75" customHeight="1"/>
    <row r="36" spans="1:2" ht="15.75">
      <c r="A36" s="10" t="s">
        <v>73</v>
      </c>
    </row>
    <row r="38" spans="1:2">
      <c r="A38" t="s">
        <v>75</v>
      </c>
    </row>
    <row r="39" spans="1:2">
      <c r="A39" t="s">
        <v>74</v>
      </c>
    </row>
    <row r="41" spans="1:2">
      <c r="A41" t="s">
        <v>76</v>
      </c>
    </row>
  </sheetData>
  <pageMargins left="0.7" right="0.7" top="0.75" bottom="0.75" header="0.3" footer="0.3"/>
  <pageSetup paperSize="9" orientation="portrait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C41"/>
  <sheetViews>
    <sheetView topLeftCell="A11" workbookViewId="0">
      <selection activeCell="C29" sqref="C29"/>
    </sheetView>
  </sheetViews>
  <sheetFormatPr defaultRowHeight="15"/>
  <cols>
    <col min="1" max="1" width="52.5703125" customWidth="1"/>
    <col min="2" max="2" width="14.42578125" customWidth="1"/>
    <col min="3" max="3" width="14.85546875" customWidth="1"/>
    <col min="4" max="4" width="25.42578125" customWidth="1"/>
    <col min="5" max="5" width="23.5703125" customWidth="1"/>
    <col min="6" max="6" width="23.28515625" customWidth="1"/>
    <col min="7" max="7" width="18" customWidth="1"/>
    <col min="8" max="8" width="18.140625" customWidth="1"/>
  </cols>
  <sheetData>
    <row r="1" spans="1:3" ht="15.75">
      <c r="A1" s="1" t="s">
        <v>0</v>
      </c>
    </row>
    <row r="2" spans="1:3" ht="15.75">
      <c r="A2" s="1" t="s">
        <v>34</v>
      </c>
      <c r="B2" s="1"/>
      <c r="C2" s="1"/>
    </row>
    <row r="3" spans="1:3" ht="15.75">
      <c r="A3" s="1" t="s">
        <v>92</v>
      </c>
      <c r="B3" s="1"/>
      <c r="C3" s="1"/>
    </row>
    <row r="4" spans="1:3" ht="15.75">
      <c r="A4" s="1" t="s">
        <v>28</v>
      </c>
      <c r="B4" s="1"/>
      <c r="C4" s="1"/>
    </row>
    <row r="5" spans="1:3" ht="15.75">
      <c r="A5" s="1" t="s">
        <v>77</v>
      </c>
      <c r="B5" s="1"/>
      <c r="C5" s="1"/>
    </row>
    <row r="6" spans="1:3" ht="15.75">
      <c r="A6" s="1"/>
      <c r="B6" s="1"/>
      <c r="C6" s="1"/>
    </row>
    <row r="7" spans="1:3" ht="15.75">
      <c r="A7" s="1" t="s">
        <v>1</v>
      </c>
      <c r="B7" s="1" t="s">
        <v>2</v>
      </c>
      <c r="C7" s="1" t="s">
        <v>3</v>
      </c>
    </row>
    <row r="8" spans="1:3" ht="15.75">
      <c r="A8" s="1" t="s">
        <v>138</v>
      </c>
      <c r="B8" s="2"/>
      <c r="C8" s="6">
        <v>-2057.62</v>
      </c>
    </row>
    <row r="9" spans="1:3" ht="15.75">
      <c r="A9" s="1" t="s">
        <v>4</v>
      </c>
      <c r="B9" s="7">
        <f>C9/12</f>
        <v>37223.53</v>
      </c>
      <c r="C9" s="1">
        <v>446682.36</v>
      </c>
    </row>
    <row r="10" spans="1:3" ht="15.75">
      <c r="A10" s="1" t="s">
        <v>31</v>
      </c>
      <c r="B10" s="7">
        <f t="shared" ref="B10:B28" si="0">C10/12</f>
        <v>1000.8333333333334</v>
      </c>
      <c r="C10" s="1">
        <v>12010</v>
      </c>
    </row>
    <row r="11" spans="1:3" ht="15.75">
      <c r="A11" s="6" t="s">
        <v>17</v>
      </c>
      <c r="B11" s="7">
        <f t="shared" si="0"/>
        <v>38224.363333333335</v>
      </c>
      <c r="C11" s="6">
        <f>SUM(C9:C10)</f>
        <v>458692.36</v>
      </c>
    </row>
    <row r="12" spans="1:3" ht="15.75">
      <c r="A12" s="1" t="s">
        <v>18</v>
      </c>
      <c r="B12" s="7">
        <f t="shared" si="0"/>
        <v>0</v>
      </c>
      <c r="C12" s="1"/>
    </row>
    <row r="13" spans="1:3" ht="15.75">
      <c r="A13" s="1" t="s">
        <v>25</v>
      </c>
      <c r="B13" s="7">
        <f t="shared" si="0"/>
        <v>9348.1075000000001</v>
      </c>
      <c r="C13" s="1">
        <f>91667.26+20510.03</f>
        <v>112177.29</v>
      </c>
    </row>
    <row r="14" spans="1:3" ht="15.75">
      <c r="A14" s="1" t="s">
        <v>32</v>
      </c>
      <c r="B14" s="7">
        <f t="shared" si="0"/>
        <v>7944.7</v>
      </c>
      <c r="C14" s="1">
        <f>24331.87+71004.53</f>
        <v>95336.4</v>
      </c>
    </row>
    <row r="15" spans="1:3" ht="15.75">
      <c r="A15" s="1" t="s">
        <v>5</v>
      </c>
      <c r="B15" s="7">
        <f t="shared" si="0"/>
        <v>0</v>
      </c>
      <c r="C15" s="1"/>
    </row>
    <row r="16" spans="1:3" ht="15.75">
      <c r="A16" s="1" t="s">
        <v>6</v>
      </c>
      <c r="B16" s="7">
        <f t="shared" si="0"/>
        <v>3463.5</v>
      </c>
      <c r="C16" s="1">
        <v>41562</v>
      </c>
    </row>
    <row r="17" spans="1:3" ht="15.75">
      <c r="A17" s="1" t="s">
        <v>7</v>
      </c>
      <c r="B17" s="7">
        <f t="shared" si="0"/>
        <v>1369.3500000000001</v>
      </c>
      <c r="C17" s="1">
        <v>16432.2</v>
      </c>
    </row>
    <row r="18" spans="1:3" ht="15.75">
      <c r="A18" s="1" t="s">
        <v>8</v>
      </c>
      <c r="B18" s="7">
        <f t="shared" si="0"/>
        <v>161.65</v>
      </c>
      <c r="C18" s="1">
        <v>1939.8</v>
      </c>
    </row>
    <row r="19" spans="1:3" ht="15.75">
      <c r="A19" s="1" t="s">
        <v>9</v>
      </c>
      <c r="B19" s="7">
        <f t="shared" si="0"/>
        <v>0</v>
      </c>
      <c r="C19" s="1"/>
    </row>
    <row r="20" spans="1:3" ht="15.75">
      <c r="A20" s="1" t="s">
        <v>10</v>
      </c>
      <c r="B20" s="7">
        <f t="shared" si="0"/>
        <v>767.50416666666661</v>
      </c>
      <c r="C20" s="1">
        <v>9210.0499999999993</v>
      </c>
    </row>
    <row r="21" spans="1:3" ht="15.75">
      <c r="A21" s="1" t="s">
        <v>11</v>
      </c>
      <c r="B21" s="7">
        <f t="shared" si="0"/>
        <v>1854.0383333333332</v>
      </c>
      <c r="C21" s="1">
        <v>22248.46</v>
      </c>
    </row>
    <row r="22" spans="1:3" ht="15.75">
      <c r="A22" s="1" t="s">
        <v>12</v>
      </c>
      <c r="B22" s="7">
        <f t="shared" si="0"/>
        <v>2670.9641666666666</v>
      </c>
      <c r="C22" s="1">
        <v>32051.57</v>
      </c>
    </row>
    <row r="23" spans="1:3" ht="15.75">
      <c r="A23" s="1" t="s">
        <v>13</v>
      </c>
      <c r="B23" s="7">
        <f t="shared" si="0"/>
        <v>540.63166666666666</v>
      </c>
      <c r="C23" s="1">
        <v>6487.58</v>
      </c>
    </row>
    <row r="24" spans="1:3" ht="15.75">
      <c r="A24" s="1" t="s">
        <v>14</v>
      </c>
      <c r="B24" s="7">
        <f t="shared" si="0"/>
        <v>1988.2808333333332</v>
      </c>
      <c r="C24" s="1">
        <v>23859.37</v>
      </c>
    </row>
    <row r="25" spans="1:3" ht="15.75">
      <c r="A25" s="1" t="s">
        <v>29</v>
      </c>
      <c r="B25" s="7">
        <f t="shared" si="0"/>
        <v>239.77083333333334</v>
      </c>
      <c r="C25" s="1">
        <v>2877.25</v>
      </c>
    </row>
    <row r="26" spans="1:3" ht="15.75">
      <c r="A26" s="1" t="s">
        <v>19</v>
      </c>
      <c r="B26" s="7">
        <f t="shared" si="0"/>
        <v>350</v>
      </c>
      <c r="C26" s="1">
        <v>4200</v>
      </c>
    </row>
    <row r="27" spans="1:3" ht="15.75">
      <c r="A27" s="1" t="s">
        <v>78</v>
      </c>
      <c r="B27" s="7">
        <f t="shared" si="0"/>
        <v>8804.1450000000004</v>
      </c>
      <c r="C27" s="1">
        <v>105649.74</v>
      </c>
    </row>
    <row r="28" spans="1:3" ht="15.75">
      <c r="A28" s="6" t="s">
        <v>79</v>
      </c>
      <c r="B28" s="7">
        <f t="shared" si="0"/>
        <v>39502.642500000002</v>
      </c>
      <c r="C28" s="6">
        <f>SUM(C13:C27)</f>
        <v>474031.71</v>
      </c>
    </row>
    <row r="29" spans="1:3" ht="15.75">
      <c r="A29" s="6" t="s">
        <v>80</v>
      </c>
      <c r="B29" s="7"/>
      <c r="C29" s="6"/>
    </row>
    <row r="30" spans="1:3" ht="15.75">
      <c r="A30" s="6" t="s">
        <v>81</v>
      </c>
      <c r="B30" s="1"/>
      <c r="C30" s="6">
        <v>17396.97</v>
      </c>
    </row>
    <row r="31" spans="1:3" ht="15.75">
      <c r="A31" s="1" t="s">
        <v>33</v>
      </c>
      <c r="B31" s="6">
        <v>94737.83</v>
      </c>
      <c r="C31" s="1"/>
    </row>
    <row r="32" spans="1:3" ht="15.75">
      <c r="A32" s="1" t="s">
        <v>22</v>
      </c>
      <c r="B32" s="1"/>
      <c r="C32" s="1"/>
    </row>
    <row r="33" spans="1:2" ht="15.75">
      <c r="A33" s="1" t="s">
        <v>23</v>
      </c>
    </row>
    <row r="34" spans="1:2" ht="15.75">
      <c r="A34" s="1" t="s">
        <v>82</v>
      </c>
      <c r="B34" s="4">
        <v>22393.17</v>
      </c>
    </row>
    <row r="36" spans="1:2" ht="15.75">
      <c r="A36" s="10" t="s">
        <v>73</v>
      </c>
    </row>
    <row r="38" spans="1:2">
      <c r="A38" t="s">
        <v>75</v>
      </c>
    </row>
    <row r="39" spans="1:2">
      <c r="A39" t="s">
        <v>74</v>
      </c>
    </row>
    <row r="41" spans="1:2">
      <c r="A41" t="s">
        <v>76</v>
      </c>
    </row>
  </sheetData>
  <pageMargins left="0.7" right="0.7" top="0.75" bottom="0.75" header="0.3" footer="0.3"/>
  <pageSetup paperSize="9" orientation="portrait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C41"/>
  <sheetViews>
    <sheetView topLeftCell="A17" workbookViewId="0">
      <selection activeCell="A8" sqref="A8"/>
    </sheetView>
  </sheetViews>
  <sheetFormatPr defaultRowHeight="15"/>
  <cols>
    <col min="1" max="1" width="53.42578125" customWidth="1"/>
    <col min="2" max="2" width="13.5703125" customWidth="1"/>
    <col min="3" max="3" width="14.85546875" customWidth="1"/>
  </cols>
  <sheetData>
    <row r="1" spans="1:3" ht="15.75">
      <c r="A1" s="1" t="s">
        <v>0</v>
      </c>
    </row>
    <row r="2" spans="1:3" ht="15.75">
      <c r="A2" s="1" t="s">
        <v>35</v>
      </c>
      <c r="B2" s="1"/>
      <c r="C2" s="1"/>
    </row>
    <row r="3" spans="1:3" ht="15.75">
      <c r="A3" s="1" t="s">
        <v>92</v>
      </c>
      <c r="B3" s="1"/>
      <c r="C3" s="1"/>
    </row>
    <row r="4" spans="1:3" ht="15.75">
      <c r="A4" s="1" t="s">
        <v>28</v>
      </c>
      <c r="B4" s="1"/>
      <c r="C4" s="1"/>
    </row>
    <row r="5" spans="1:3" ht="15.75">
      <c r="A5" s="1" t="s">
        <v>77</v>
      </c>
      <c r="B5" s="1"/>
      <c r="C5" s="1"/>
    </row>
    <row r="6" spans="1:3" ht="15.75">
      <c r="A6" s="1"/>
      <c r="B6" s="1"/>
      <c r="C6" s="1"/>
    </row>
    <row r="7" spans="1:3" ht="15.75">
      <c r="A7" s="1" t="s">
        <v>1</v>
      </c>
      <c r="B7" s="1" t="s">
        <v>2</v>
      </c>
      <c r="C7" s="1" t="s">
        <v>3</v>
      </c>
    </row>
    <row r="8" spans="1:3" ht="15.75">
      <c r="A8" s="6" t="s">
        <v>152</v>
      </c>
      <c r="B8" s="2"/>
      <c r="C8" s="6">
        <v>-3601.41</v>
      </c>
    </row>
    <row r="9" spans="1:3" ht="15.75">
      <c r="A9" s="1" t="s">
        <v>4</v>
      </c>
      <c r="B9" s="7">
        <f>C9/12</f>
        <v>54043.128333333334</v>
      </c>
      <c r="C9" s="1">
        <v>648517.54</v>
      </c>
    </row>
    <row r="10" spans="1:3" ht="15.75">
      <c r="A10" s="1" t="s">
        <v>31</v>
      </c>
      <c r="B10" s="7">
        <f t="shared" ref="B10:B28" si="0">C10/12</f>
        <v>1300.8333333333333</v>
      </c>
      <c r="C10" s="1">
        <v>15610</v>
      </c>
    </row>
    <row r="11" spans="1:3" ht="15.75">
      <c r="A11" s="6" t="s">
        <v>17</v>
      </c>
      <c r="B11" s="7">
        <f t="shared" si="0"/>
        <v>55343.96166666667</v>
      </c>
      <c r="C11" s="6">
        <f>SUM(C9:C10)</f>
        <v>664127.54</v>
      </c>
    </row>
    <row r="12" spans="1:3" ht="15.75">
      <c r="A12" s="1" t="s">
        <v>18</v>
      </c>
      <c r="B12" s="7">
        <f t="shared" si="0"/>
        <v>0</v>
      </c>
      <c r="C12" s="1"/>
    </row>
    <row r="13" spans="1:3" ht="15.75">
      <c r="A13" s="1" t="s">
        <v>25</v>
      </c>
      <c r="B13" s="7">
        <f t="shared" si="0"/>
        <v>13594.299999999997</v>
      </c>
      <c r="C13" s="1">
        <f>133305.3+29826.3</f>
        <v>163131.59999999998</v>
      </c>
    </row>
    <row r="14" spans="1:3" ht="15.75">
      <c r="A14" s="1" t="s">
        <v>32</v>
      </c>
      <c r="B14" s="7">
        <f t="shared" si="0"/>
        <v>13197.244166666665</v>
      </c>
      <c r="C14" s="1">
        <f>40980.96+117385.97</f>
        <v>158366.93</v>
      </c>
    </row>
    <row r="15" spans="1:3" ht="15.75">
      <c r="A15" s="1" t="s">
        <v>5</v>
      </c>
      <c r="B15" s="7">
        <f t="shared" si="0"/>
        <v>0</v>
      </c>
      <c r="C15" s="1"/>
    </row>
    <row r="16" spans="1:3" ht="15.75">
      <c r="A16" s="1" t="s">
        <v>6</v>
      </c>
      <c r="B16" s="7">
        <f t="shared" si="0"/>
        <v>3654.9166666666665</v>
      </c>
      <c r="C16" s="1">
        <v>43859</v>
      </c>
    </row>
    <row r="17" spans="1:3" ht="15.75">
      <c r="A17" s="1" t="s">
        <v>7</v>
      </c>
      <c r="B17" s="7">
        <f t="shared" si="0"/>
        <v>1966.01</v>
      </c>
      <c r="C17" s="1">
        <v>23592.12</v>
      </c>
    </row>
    <row r="18" spans="1:3" ht="15.75">
      <c r="A18" s="1" t="s">
        <v>8</v>
      </c>
      <c r="B18" s="7">
        <f t="shared" si="0"/>
        <v>180.05999999999997</v>
      </c>
      <c r="C18" s="1">
        <v>2160.7199999999998</v>
      </c>
    </row>
    <row r="19" spans="1:3" ht="15.75">
      <c r="A19" s="1" t="s">
        <v>9</v>
      </c>
      <c r="B19" s="7">
        <f t="shared" si="0"/>
        <v>0</v>
      </c>
      <c r="C19" s="1"/>
    </row>
    <row r="20" spans="1:3" ht="15.75">
      <c r="A20" s="1" t="s">
        <v>10</v>
      </c>
      <c r="B20" s="7">
        <f t="shared" si="0"/>
        <v>938.06</v>
      </c>
      <c r="C20" s="1">
        <v>11256.72</v>
      </c>
    </row>
    <row r="21" spans="1:3" ht="15.75">
      <c r="A21" s="1" t="s">
        <v>11</v>
      </c>
      <c r="B21" s="7">
        <f t="shared" si="0"/>
        <v>2688.2400000000002</v>
      </c>
      <c r="C21" s="1">
        <v>32258.880000000001</v>
      </c>
    </row>
    <row r="22" spans="1:3" ht="15.75">
      <c r="A22" s="1" t="s">
        <v>12</v>
      </c>
      <c r="B22" s="7">
        <f t="shared" si="0"/>
        <v>3884.1966666666667</v>
      </c>
      <c r="C22" s="1">
        <v>46610.36</v>
      </c>
    </row>
    <row r="23" spans="1:3" ht="15.75">
      <c r="A23" s="1" t="s">
        <v>13</v>
      </c>
      <c r="B23" s="7">
        <f t="shared" si="0"/>
        <v>675.26499999999999</v>
      </c>
      <c r="C23" s="1">
        <v>8103.18</v>
      </c>
    </row>
    <row r="24" spans="1:3" ht="15.75">
      <c r="A24" s="1" t="s">
        <v>14</v>
      </c>
      <c r="B24" s="7">
        <f t="shared" si="0"/>
        <v>2878.7741666666666</v>
      </c>
      <c r="C24" s="1">
        <v>34545.29</v>
      </c>
    </row>
    <row r="25" spans="1:3" ht="15.75">
      <c r="A25" s="1" t="s">
        <v>29</v>
      </c>
      <c r="B25" s="7">
        <f t="shared" si="0"/>
        <v>289.45833333333331</v>
      </c>
      <c r="C25" s="1">
        <v>3473.5</v>
      </c>
    </row>
    <row r="26" spans="1:3" ht="15.75">
      <c r="A26" s="1" t="s">
        <v>19</v>
      </c>
      <c r="B26" s="7">
        <f t="shared" si="0"/>
        <v>350</v>
      </c>
      <c r="C26" s="1">
        <v>4200</v>
      </c>
    </row>
    <row r="27" spans="1:3" ht="15.75">
      <c r="A27" s="1" t="s">
        <v>78</v>
      </c>
      <c r="B27" s="7">
        <f t="shared" si="0"/>
        <v>12641.885</v>
      </c>
      <c r="C27" s="1">
        <v>151702.62</v>
      </c>
    </row>
    <row r="28" spans="1:3" ht="15.75">
      <c r="A28" s="6" t="s">
        <v>79</v>
      </c>
      <c r="B28" s="7">
        <f t="shared" si="0"/>
        <v>56938.409999999982</v>
      </c>
      <c r="C28" s="6">
        <f>SUM(C13:C27)</f>
        <v>683260.91999999981</v>
      </c>
    </row>
    <row r="29" spans="1:3" ht="15.75">
      <c r="A29" s="6" t="s">
        <v>80</v>
      </c>
      <c r="B29" s="7"/>
      <c r="C29" s="6"/>
    </row>
    <row r="30" spans="1:3" ht="15.75">
      <c r="A30" s="6" t="s">
        <v>81</v>
      </c>
      <c r="B30" s="1"/>
      <c r="C30" s="6">
        <v>22734.79</v>
      </c>
    </row>
    <row r="31" spans="1:3" ht="15.75">
      <c r="A31" s="1" t="s">
        <v>33</v>
      </c>
      <c r="B31" s="6">
        <v>79859.89</v>
      </c>
      <c r="C31" s="1"/>
    </row>
    <row r="32" spans="1:3" ht="15.75">
      <c r="A32" s="1" t="s">
        <v>22</v>
      </c>
      <c r="B32" s="1"/>
      <c r="C32" s="1"/>
    </row>
    <row r="33" spans="1:2" ht="15.75">
      <c r="A33" s="1" t="s">
        <v>23</v>
      </c>
    </row>
    <row r="34" spans="1:2" ht="15.75">
      <c r="A34" s="1" t="s">
        <v>82</v>
      </c>
      <c r="B34" s="4">
        <v>0</v>
      </c>
    </row>
    <row r="35" spans="1:2" ht="24.75" customHeight="1"/>
    <row r="36" spans="1:2" ht="15.75">
      <c r="A36" s="10" t="s">
        <v>73</v>
      </c>
    </row>
    <row r="38" spans="1:2">
      <c r="A38" t="s">
        <v>75</v>
      </c>
    </row>
    <row r="39" spans="1:2">
      <c r="A39" t="s">
        <v>74</v>
      </c>
    </row>
    <row r="41" spans="1:2">
      <c r="A41" t="s">
        <v>76</v>
      </c>
    </row>
  </sheetData>
  <pageMargins left="0.7" right="0.7" top="0.75" bottom="0.75" header="0.3" footer="0.3"/>
  <pageSetup paperSize="9" orientation="portrait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C41"/>
  <sheetViews>
    <sheetView topLeftCell="A18" workbookViewId="0">
      <selection activeCell="B34" sqref="B34"/>
    </sheetView>
  </sheetViews>
  <sheetFormatPr defaultRowHeight="15"/>
  <cols>
    <col min="1" max="1" width="53.5703125" customWidth="1"/>
    <col min="2" max="2" width="13.7109375" customWidth="1"/>
    <col min="3" max="3" width="15" customWidth="1"/>
  </cols>
  <sheetData>
    <row r="1" spans="1:3" ht="15.75">
      <c r="A1" s="1" t="s">
        <v>0</v>
      </c>
    </row>
    <row r="2" spans="1:3" ht="15.75">
      <c r="A2" s="1" t="s">
        <v>36</v>
      </c>
      <c r="B2" s="1"/>
      <c r="C2" s="1"/>
    </row>
    <row r="3" spans="1:3" ht="15.75">
      <c r="A3" s="1" t="s">
        <v>92</v>
      </c>
      <c r="B3" s="1"/>
      <c r="C3" s="1"/>
    </row>
    <row r="4" spans="1:3" ht="15.75">
      <c r="A4" s="1" t="s">
        <v>28</v>
      </c>
      <c r="B4" s="1"/>
      <c r="C4" s="1"/>
    </row>
    <row r="5" spans="1:3" ht="15.75">
      <c r="A5" s="1" t="s">
        <v>77</v>
      </c>
      <c r="B5" s="1"/>
      <c r="C5" s="1"/>
    </row>
    <row r="6" spans="1:3" ht="15.75">
      <c r="A6" s="1"/>
      <c r="B6" s="1"/>
      <c r="C6" s="1"/>
    </row>
    <row r="7" spans="1:3" ht="15.75">
      <c r="A7" s="1" t="s">
        <v>1</v>
      </c>
      <c r="B7" s="1" t="s">
        <v>2</v>
      </c>
      <c r="C7" s="1" t="s">
        <v>3</v>
      </c>
    </row>
    <row r="8" spans="1:3" ht="15.75">
      <c r="A8" s="1" t="s">
        <v>138</v>
      </c>
      <c r="B8" s="2"/>
      <c r="C8" s="6">
        <v>-1720.42</v>
      </c>
    </row>
    <row r="9" spans="1:3" ht="15.75">
      <c r="A9" s="1" t="s">
        <v>4</v>
      </c>
      <c r="B9" s="7">
        <f>C9/12</f>
        <v>37087.8825</v>
      </c>
      <c r="C9" s="1">
        <v>445054.59</v>
      </c>
    </row>
    <row r="10" spans="1:3" ht="15.75">
      <c r="A10" s="1" t="s">
        <v>31</v>
      </c>
      <c r="B10" s="7">
        <f t="shared" ref="B10:B28" si="0">C10/12</f>
        <v>833.33333333333337</v>
      </c>
      <c r="C10" s="1">
        <v>10000</v>
      </c>
    </row>
    <row r="11" spans="1:3" ht="15.75">
      <c r="A11" s="6" t="s">
        <v>17</v>
      </c>
      <c r="B11" s="7">
        <f t="shared" si="0"/>
        <v>37921.215833333335</v>
      </c>
      <c r="C11" s="6">
        <f>SUM(C9:C10)</f>
        <v>455054.59</v>
      </c>
    </row>
    <row r="12" spans="1:3" ht="15.75">
      <c r="A12" s="1" t="s">
        <v>18</v>
      </c>
      <c r="B12" s="7">
        <f t="shared" si="0"/>
        <v>0</v>
      </c>
      <c r="C12" s="1"/>
    </row>
    <row r="13" spans="1:3" ht="15.75">
      <c r="A13" s="1" t="s">
        <v>25</v>
      </c>
      <c r="B13" s="7">
        <f t="shared" si="0"/>
        <v>10084.84</v>
      </c>
      <c r="C13" s="1">
        <f>98891.64+22126.44</f>
        <v>121018.08</v>
      </c>
    </row>
    <row r="14" spans="1:3" ht="15.75">
      <c r="A14" s="1" t="s">
        <v>32</v>
      </c>
      <c r="B14" s="7">
        <f t="shared" si="0"/>
        <v>7363.251666666667</v>
      </c>
      <c r="C14" s="1">
        <f>43263.79+45095.23</f>
        <v>88359.02</v>
      </c>
    </row>
    <row r="15" spans="1:3" ht="15.75">
      <c r="A15" s="1" t="s">
        <v>5</v>
      </c>
      <c r="B15" s="7">
        <f t="shared" si="0"/>
        <v>0</v>
      </c>
      <c r="C15" s="1"/>
    </row>
    <row r="16" spans="1:3" ht="15.75">
      <c r="A16" s="1" t="s">
        <v>6</v>
      </c>
      <c r="B16" s="7">
        <f t="shared" si="0"/>
        <v>2298.9166666666665</v>
      </c>
      <c r="C16" s="1">
        <v>27587</v>
      </c>
    </row>
    <row r="17" spans="1:3" ht="15.75">
      <c r="A17" s="1" t="s">
        <v>7</v>
      </c>
      <c r="B17" s="7">
        <f t="shared" si="0"/>
        <v>1394.9799999999998</v>
      </c>
      <c r="C17" s="1">
        <v>16739.759999999998</v>
      </c>
    </row>
    <row r="18" spans="1:3" ht="15.75">
      <c r="A18" s="1" t="s">
        <v>8</v>
      </c>
      <c r="B18" s="7">
        <f t="shared" si="0"/>
        <v>142.47999999999999</v>
      </c>
      <c r="C18" s="1">
        <v>1709.76</v>
      </c>
    </row>
    <row r="19" spans="1:3" ht="15.75">
      <c r="A19" s="1" t="s">
        <v>9</v>
      </c>
      <c r="B19" s="7">
        <f t="shared" si="0"/>
        <v>0</v>
      </c>
      <c r="C19" s="1"/>
    </row>
    <row r="20" spans="1:3" ht="15.75">
      <c r="A20" s="1" t="s">
        <v>10</v>
      </c>
      <c r="B20" s="7">
        <f t="shared" si="0"/>
        <v>1137.0433333333333</v>
      </c>
      <c r="C20" s="1">
        <v>13644.52</v>
      </c>
    </row>
    <row r="21" spans="1:3" ht="15.75">
      <c r="A21" s="1" t="s">
        <v>11</v>
      </c>
      <c r="B21" s="7">
        <f t="shared" si="0"/>
        <v>1843.4058333333332</v>
      </c>
      <c r="C21" s="1">
        <v>22120.87</v>
      </c>
    </row>
    <row r="22" spans="1:3" ht="15.75">
      <c r="A22" s="1" t="s">
        <v>12</v>
      </c>
      <c r="B22" s="7">
        <f t="shared" si="0"/>
        <v>2881.4650000000001</v>
      </c>
      <c r="C22" s="1">
        <v>34577.58</v>
      </c>
    </row>
    <row r="23" spans="1:3" ht="15.75">
      <c r="A23" s="1" t="s">
        <v>13</v>
      </c>
      <c r="B23" s="7">
        <f t="shared" si="0"/>
        <v>690.64416666666659</v>
      </c>
      <c r="C23" s="1">
        <v>8287.73</v>
      </c>
    </row>
    <row r="24" spans="1:3" ht="15.75">
      <c r="A24" s="1" t="s">
        <v>14</v>
      </c>
      <c r="B24" s="7">
        <f t="shared" si="0"/>
        <v>1972.5116666666665</v>
      </c>
      <c r="C24" s="1">
        <v>23670.14</v>
      </c>
    </row>
    <row r="25" spans="1:3" ht="15.75">
      <c r="A25" s="1" t="s">
        <v>29</v>
      </c>
      <c r="B25" s="7">
        <f t="shared" si="0"/>
        <v>170.8175</v>
      </c>
      <c r="C25" s="1">
        <v>2049.81</v>
      </c>
    </row>
    <row r="26" spans="1:3" ht="15.75">
      <c r="A26" s="1" t="s">
        <v>19</v>
      </c>
      <c r="B26" s="7">
        <f t="shared" si="0"/>
        <v>0</v>
      </c>
      <c r="C26" s="1"/>
    </row>
    <row r="27" spans="1:3" ht="15.75">
      <c r="A27" s="1" t="s">
        <v>78</v>
      </c>
      <c r="B27" s="7">
        <f t="shared" si="0"/>
        <v>8970.0291666666672</v>
      </c>
      <c r="C27" s="1">
        <v>107640.35</v>
      </c>
    </row>
    <row r="28" spans="1:3" ht="15.75">
      <c r="A28" s="6" t="s">
        <v>79</v>
      </c>
      <c r="B28" s="7">
        <f t="shared" si="0"/>
        <v>38950.385000000002</v>
      </c>
      <c r="C28" s="6">
        <f>SUM(C13:C27)</f>
        <v>467404.62</v>
      </c>
    </row>
    <row r="29" spans="1:3" ht="15.75">
      <c r="A29" s="6" t="s">
        <v>80</v>
      </c>
      <c r="B29" s="7"/>
      <c r="C29" s="6"/>
    </row>
    <row r="30" spans="1:3" ht="15.75">
      <c r="A30" s="6" t="s">
        <v>81</v>
      </c>
      <c r="B30" s="1"/>
      <c r="C30" s="6">
        <v>14070.45</v>
      </c>
    </row>
    <row r="31" spans="1:3" ht="15.75">
      <c r="A31" s="1" t="s">
        <v>33</v>
      </c>
      <c r="B31" s="6">
        <v>133282.74</v>
      </c>
      <c r="C31" s="1"/>
    </row>
    <row r="32" spans="1:3" ht="15.75">
      <c r="A32" s="1" t="s">
        <v>22</v>
      </c>
      <c r="B32" s="1"/>
      <c r="C32" s="1"/>
    </row>
    <row r="33" spans="1:2" ht="15.75">
      <c r="A33" s="1" t="s">
        <v>23</v>
      </c>
    </row>
    <row r="34" spans="1:2" ht="15.75">
      <c r="A34" s="1" t="s">
        <v>82</v>
      </c>
      <c r="B34" s="13">
        <v>0</v>
      </c>
    </row>
    <row r="35" spans="1:2" ht="25.5" customHeight="1"/>
    <row r="36" spans="1:2" ht="15.75">
      <c r="A36" s="10" t="s">
        <v>73</v>
      </c>
    </row>
    <row r="38" spans="1:2">
      <c r="A38" t="s">
        <v>75</v>
      </c>
    </row>
    <row r="39" spans="1:2">
      <c r="A39" t="s">
        <v>74</v>
      </c>
    </row>
    <row r="41" spans="1:2">
      <c r="A41" t="s">
        <v>76</v>
      </c>
    </row>
  </sheetData>
  <pageMargins left="0.7" right="0.7" top="0.75" bottom="0.75" header="0.3" footer="0.3"/>
  <pageSetup paperSize="9" orientation="portrait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C41"/>
  <sheetViews>
    <sheetView topLeftCell="A6" workbookViewId="0">
      <selection activeCell="A8" sqref="A8"/>
    </sheetView>
  </sheetViews>
  <sheetFormatPr defaultRowHeight="15"/>
  <cols>
    <col min="1" max="1" width="53.42578125" customWidth="1"/>
    <col min="2" max="2" width="13.85546875" customWidth="1"/>
    <col min="3" max="3" width="14.42578125" customWidth="1"/>
  </cols>
  <sheetData>
    <row r="1" spans="1:3" ht="15.75">
      <c r="A1" s="1" t="s">
        <v>0</v>
      </c>
    </row>
    <row r="2" spans="1:3" ht="15.75">
      <c r="A2" s="1" t="s">
        <v>101</v>
      </c>
      <c r="B2" s="1"/>
      <c r="C2" s="1"/>
    </row>
    <row r="3" spans="1:3" ht="15.75">
      <c r="A3" s="1" t="s">
        <v>92</v>
      </c>
      <c r="B3" s="1"/>
      <c r="C3" s="1"/>
    </row>
    <row r="4" spans="1:3" ht="15.75">
      <c r="A4" s="1" t="s">
        <v>28</v>
      </c>
      <c r="B4" s="1"/>
      <c r="C4" s="1"/>
    </row>
    <row r="5" spans="1:3" ht="15.75">
      <c r="A5" s="1" t="s">
        <v>77</v>
      </c>
      <c r="B5" s="1"/>
      <c r="C5" s="1"/>
    </row>
    <row r="6" spans="1:3" ht="15.75">
      <c r="A6" s="1"/>
      <c r="B6" s="1"/>
      <c r="C6" s="1"/>
    </row>
    <row r="7" spans="1:3" ht="15.75">
      <c r="A7" s="1" t="s">
        <v>1</v>
      </c>
      <c r="B7" s="1" t="s">
        <v>2</v>
      </c>
      <c r="C7" s="1" t="s">
        <v>3</v>
      </c>
    </row>
    <row r="8" spans="1:3" ht="15.75">
      <c r="A8" s="6" t="s">
        <v>138</v>
      </c>
      <c r="B8" s="2"/>
      <c r="C8" s="6">
        <v>-7620.02</v>
      </c>
    </row>
    <row r="9" spans="1:3" ht="15.75">
      <c r="A9" s="1" t="s">
        <v>4</v>
      </c>
      <c r="B9" s="7">
        <f>C9/12</f>
        <v>38678.831666666665</v>
      </c>
      <c r="C9" s="1">
        <v>464145.98</v>
      </c>
    </row>
    <row r="10" spans="1:3" ht="15.75">
      <c r="A10" s="1" t="s">
        <v>31</v>
      </c>
      <c r="B10" s="7">
        <f t="shared" ref="B10:B28" si="0">C10/12</f>
        <v>1200.8333333333333</v>
      </c>
      <c r="C10" s="1">
        <v>14410</v>
      </c>
    </row>
    <row r="11" spans="1:3" ht="15.75">
      <c r="A11" s="6" t="s">
        <v>17</v>
      </c>
      <c r="B11" s="7">
        <f t="shared" si="0"/>
        <v>39879.665000000001</v>
      </c>
      <c r="C11" s="6">
        <f>SUM(C9:C10)</f>
        <v>478555.98</v>
      </c>
    </row>
    <row r="12" spans="1:3" ht="15.75">
      <c r="A12" s="1" t="s">
        <v>18</v>
      </c>
      <c r="B12" s="7">
        <f t="shared" si="0"/>
        <v>0</v>
      </c>
      <c r="C12" s="1"/>
    </row>
    <row r="13" spans="1:3" ht="15.75">
      <c r="A13" s="1" t="s">
        <v>25</v>
      </c>
      <c r="B13" s="7">
        <f t="shared" si="0"/>
        <v>10022.395833333334</v>
      </c>
      <c r="C13" s="1">
        <f>98279.31+21989.44</f>
        <v>120268.75</v>
      </c>
    </row>
    <row r="14" spans="1:3" ht="15.75">
      <c r="A14" s="1" t="s">
        <v>32</v>
      </c>
      <c r="B14" s="7">
        <f t="shared" si="0"/>
        <v>9239.7099999999991</v>
      </c>
      <c r="C14" s="1">
        <f>41494.37+69382.15</f>
        <v>110876.51999999999</v>
      </c>
    </row>
    <row r="15" spans="1:3" ht="15.75">
      <c r="A15" s="1" t="s">
        <v>5</v>
      </c>
      <c r="B15" s="7">
        <f t="shared" si="0"/>
        <v>0</v>
      </c>
      <c r="C15" s="1"/>
    </row>
    <row r="16" spans="1:3" ht="15.75">
      <c r="A16" s="1" t="s">
        <v>6</v>
      </c>
      <c r="B16" s="7">
        <f t="shared" si="0"/>
        <v>3029.9166666666665</v>
      </c>
      <c r="C16" s="1">
        <v>36359</v>
      </c>
    </row>
    <row r="17" spans="1:3" ht="15.75">
      <c r="A17" s="1" t="s">
        <v>7</v>
      </c>
      <c r="B17" s="7">
        <f t="shared" si="0"/>
        <v>1397.0600000000002</v>
      </c>
      <c r="C17" s="1">
        <v>16764.72</v>
      </c>
    </row>
    <row r="18" spans="1:3" ht="15.75">
      <c r="A18" s="1" t="s">
        <v>8</v>
      </c>
      <c r="B18" s="7">
        <f t="shared" si="0"/>
        <v>315.36333333333334</v>
      </c>
      <c r="C18" s="1">
        <v>3784.36</v>
      </c>
    </row>
    <row r="19" spans="1:3" ht="15.75">
      <c r="A19" s="1" t="s">
        <v>9</v>
      </c>
      <c r="B19" s="7">
        <f t="shared" si="0"/>
        <v>0</v>
      </c>
      <c r="C19" s="1"/>
    </row>
    <row r="20" spans="1:3" ht="15.75">
      <c r="A20" s="1" t="s">
        <v>10</v>
      </c>
      <c r="B20" s="7">
        <f t="shared" si="0"/>
        <v>1137.0433333333333</v>
      </c>
      <c r="C20" s="1">
        <v>13644.52</v>
      </c>
    </row>
    <row r="21" spans="1:3" ht="15.75">
      <c r="A21" s="1" t="s">
        <v>11</v>
      </c>
      <c r="B21" s="7">
        <f t="shared" si="0"/>
        <v>1923.7633333333333</v>
      </c>
      <c r="C21" s="1">
        <v>23085.16</v>
      </c>
    </row>
    <row r="22" spans="1:3" ht="15.75">
      <c r="A22" s="1" t="s">
        <v>12</v>
      </c>
      <c r="B22" s="7">
        <f t="shared" si="0"/>
        <v>2863.6233333333334</v>
      </c>
      <c r="C22" s="1">
        <v>34363.480000000003</v>
      </c>
    </row>
    <row r="23" spans="1:3" ht="15.75">
      <c r="A23" s="1" t="s">
        <v>13</v>
      </c>
      <c r="B23" s="7">
        <f t="shared" si="0"/>
        <v>914.51833333333332</v>
      </c>
      <c r="C23" s="1">
        <v>10974.22</v>
      </c>
    </row>
    <row r="24" spans="1:3" ht="15.75">
      <c r="A24" s="1" t="s">
        <v>14</v>
      </c>
      <c r="B24" s="7">
        <f t="shared" si="0"/>
        <v>2074.3825000000002</v>
      </c>
      <c r="C24" s="1">
        <v>24892.59</v>
      </c>
    </row>
    <row r="25" spans="1:3" ht="15.75">
      <c r="A25" s="1" t="s">
        <v>29</v>
      </c>
      <c r="B25" s="7">
        <f t="shared" si="0"/>
        <v>170.8175</v>
      </c>
      <c r="C25" s="1">
        <v>2049.81</v>
      </c>
    </row>
    <row r="26" spans="1:3" ht="15.75">
      <c r="A26" s="1" t="s">
        <v>19</v>
      </c>
      <c r="B26" s="7">
        <f t="shared" si="0"/>
        <v>138.39166666666668</v>
      </c>
      <c r="C26" s="1">
        <v>1660.7</v>
      </c>
    </row>
    <row r="27" spans="1:3" ht="15.75">
      <c r="A27" s="1" t="s">
        <v>78</v>
      </c>
      <c r="B27" s="7">
        <f t="shared" si="0"/>
        <v>8983.42</v>
      </c>
      <c r="C27" s="1">
        <v>107801.04</v>
      </c>
    </row>
    <row r="28" spans="1:3" ht="15.75">
      <c r="A28" s="6" t="s">
        <v>79</v>
      </c>
      <c r="B28" s="7">
        <f t="shared" si="0"/>
        <v>42210.405833333331</v>
      </c>
      <c r="C28" s="6">
        <f>SUM(C13:C27)</f>
        <v>506524.86999999994</v>
      </c>
    </row>
    <row r="29" spans="1:3" ht="15.75">
      <c r="A29" s="6" t="s">
        <v>80</v>
      </c>
      <c r="B29" s="7"/>
      <c r="C29" s="6"/>
    </row>
    <row r="30" spans="1:3" ht="15.75">
      <c r="A30" s="6" t="s">
        <v>81</v>
      </c>
      <c r="B30" s="1"/>
      <c r="C30" s="6">
        <v>35588.910000000003</v>
      </c>
    </row>
    <row r="31" spans="1:3" ht="15.75">
      <c r="A31" s="1" t="s">
        <v>33</v>
      </c>
      <c r="B31" s="6">
        <v>68165.89</v>
      </c>
      <c r="C31" s="1"/>
    </row>
    <row r="32" spans="1:3" ht="15.75">
      <c r="A32" s="1" t="s">
        <v>22</v>
      </c>
      <c r="B32" s="1"/>
      <c r="C32" s="1"/>
    </row>
    <row r="33" spans="1:2" ht="15.75">
      <c r="A33" s="1" t="s">
        <v>23</v>
      </c>
    </row>
    <row r="34" spans="1:2" ht="15.75">
      <c r="A34" s="1" t="s">
        <v>82</v>
      </c>
      <c r="B34" s="4">
        <v>0</v>
      </c>
    </row>
    <row r="36" spans="1:2" ht="15.75">
      <c r="A36" s="10" t="s">
        <v>73</v>
      </c>
    </row>
    <row r="38" spans="1:2">
      <c r="A38" t="s">
        <v>75</v>
      </c>
    </row>
    <row r="39" spans="1:2">
      <c r="A39" t="s">
        <v>74</v>
      </c>
    </row>
    <row r="41" spans="1:2">
      <c r="A41" t="s">
        <v>76</v>
      </c>
    </row>
  </sheetData>
  <pageMargins left="0.7" right="0.7" top="0.75" bottom="0.75" header="0.3" footer="0.3"/>
  <pageSetup paperSize="9" orientation="portrait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C41"/>
  <sheetViews>
    <sheetView topLeftCell="A22" workbookViewId="0">
      <selection activeCell="B34" sqref="B34"/>
    </sheetView>
  </sheetViews>
  <sheetFormatPr defaultRowHeight="15"/>
  <cols>
    <col min="1" max="1" width="53.140625" customWidth="1"/>
    <col min="2" max="2" width="14.140625" customWidth="1"/>
    <col min="3" max="3" width="14.85546875" customWidth="1"/>
  </cols>
  <sheetData>
    <row r="1" spans="1:3" ht="15.75">
      <c r="A1" s="1" t="s">
        <v>0</v>
      </c>
    </row>
    <row r="2" spans="1:3" ht="15.75">
      <c r="A2" s="1" t="s">
        <v>37</v>
      </c>
      <c r="B2" s="1"/>
      <c r="C2" s="1"/>
    </row>
    <row r="3" spans="1:3" ht="15.75">
      <c r="A3" s="1" t="s">
        <v>92</v>
      </c>
      <c r="B3" s="1"/>
      <c r="C3" s="1"/>
    </row>
    <row r="4" spans="1:3" ht="15.75">
      <c r="A4" s="1" t="s">
        <v>28</v>
      </c>
      <c r="B4" s="1"/>
      <c r="C4" s="1"/>
    </row>
    <row r="5" spans="1:3" ht="15.75">
      <c r="A5" s="1" t="s">
        <v>77</v>
      </c>
      <c r="B5" s="1"/>
      <c r="C5" s="1"/>
    </row>
    <row r="6" spans="1:3" ht="15.75">
      <c r="A6" s="1"/>
      <c r="B6" s="1"/>
      <c r="C6" s="1"/>
    </row>
    <row r="7" spans="1:3" ht="15.75">
      <c r="A7" s="1" t="s">
        <v>1</v>
      </c>
      <c r="B7" s="1" t="s">
        <v>2</v>
      </c>
      <c r="C7" s="1" t="s">
        <v>3</v>
      </c>
    </row>
    <row r="8" spans="1:3" ht="15.75">
      <c r="A8" s="1" t="s">
        <v>24</v>
      </c>
      <c r="B8" s="2"/>
      <c r="C8" s="6">
        <v>3347.43</v>
      </c>
    </row>
    <row r="9" spans="1:3" ht="15.75">
      <c r="A9" s="1" t="s">
        <v>4</v>
      </c>
      <c r="B9" s="7">
        <f>C9/12</f>
        <v>44045.261666666665</v>
      </c>
      <c r="C9" s="1">
        <v>528543.14</v>
      </c>
    </row>
    <row r="10" spans="1:3" ht="15.75">
      <c r="A10" s="1" t="s">
        <v>31</v>
      </c>
      <c r="B10" s="7">
        <f t="shared" ref="B10:B28" si="0">C10/12</f>
        <v>8840.0791666666664</v>
      </c>
      <c r="C10" s="1">
        <f>1956.4+104124.55</f>
        <v>106080.95</v>
      </c>
    </row>
    <row r="11" spans="1:3" ht="15.75">
      <c r="A11" s="6" t="s">
        <v>17</v>
      </c>
      <c r="B11" s="7">
        <f t="shared" si="0"/>
        <v>52885.340833333328</v>
      </c>
      <c r="C11" s="6">
        <f>SUM(C9:C10)</f>
        <v>634624.09</v>
      </c>
    </row>
    <row r="12" spans="1:3" ht="15.75">
      <c r="A12" s="1" t="s">
        <v>18</v>
      </c>
      <c r="B12" s="7">
        <f t="shared" si="0"/>
        <v>0</v>
      </c>
      <c r="C12" s="1"/>
    </row>
    <row r="13" spans="1:3" ht="15.75">
      <c r="A13" s="1" t="s">
        <v>25</v>
      </c>
      <c r="B13" s="7">
        <f t="shared" si="0"/>
        <v>14403.123333333335</v>
      </c>
      <c r="C13" s="1">
        <f>141236.6+31600.88</f>
        <v>172837.48</v>
      </c>
    </row>
    <row r="14" spans="1:3" ht="15.75">
      <c r="A14" s="1" t="s">
        <v>32</v>
      </c>
      <c r="B14" s="7">
        <f t="shared" si="0"/>
        <v>13312.116666666667</v>
      </c>
      <c r="C14" s="1">
        <f>36837.02+122908.38</f>
        <v>159745.4</v>
      </c>
    </row>
    <row r="15" spans="1:3" ht="15.75">
      <c r="A15" s="1" t="s">
        <v>5</v>
      </c>
      <c r="B15" s="7">
        <f t="shared" si="0"/>
        <v>0</v>
      </c>
      <c r="C15" s="1"/>
    </row>
    <row r="16" spans="1:3" ht="15.75">
      <c r="A16" s="1" t="s">
        <v>6</v>
      </c>
      <c r="B16" s="7">
        <f t="shared" si="0"/>
        <v>2849.6666666666665</v>
      </c>
      <c r="C16" s="1">
        <v>34196</v>
      </c>
    </row>
    <row r="17" spans="1:3" ht="15.75">
      <c r="A17" s="1" t="s">
        <v>7</v>
      </c>
      <c r="B17" s="7">
        <f t="shared" si="0"/>
        <v>2030.1850000000002</v>
      </c>
      <c r="C17" s="1">
        <v>24362.22</v>
      </c>
    </row>
    <row r="18" spans="1:3" ht="15.75">
      <c r="A18" s="1" t="s">
        <v>8</v>
      </c>
      <c r="B18" s="7">
        <f t="shared" si="0"/>
        <v>348.55666666666667</v>
      </c>
      <c r="C18" s="1">
        <v>4182.68</v>
      </c>
    </row>
    <row r="19" spans="1:3" ht="15.75">
      <c r="A19" s="1" t="s">
        <v>9</v>
      </c>
      <c r="B19" s="7">
        <f t="shared" si="0"/>
        <v>0</v>
      </c>
      <c r="C19" s="1"/>
    </row>
    <row r="20" spans="1:3" ht="15.75">
      <c r="A20" s="1" t="s">
        <v>10</v>
      </c>
      <c r="B20" s="7">
        <f t="shared" si="0"/>
        <v>909.63416666666672</v>
      </c>
      <c r="C20" s="1">
        <v>10915.61</v>
      </c>
    </row>
    <row r="21" spans="1:3" ht="15.75">
      <c r="A21" s="1" t="s">
        <v>11</v>
      </c>
      <c r="B21" s="7">
        <f t="shared" si="0"/>
        <v>2194.2408333333333</v>
      </c>
      <c r="C21" s="1">
        <v>26330.89</v>
      </c>
    </row>
    <row r="22" spans="1:3" ht="15.75">
      <c r="A22" s="1" t="s">
        <v>12</v>
      </c>
      <c r="B22" s="7">
        <f t="shared" si="0"/>
        <v>4115.2958333333336</v>
      </c>
      <c r="C22" s="1">
        <v>49383.55</v>
      </c>
    </row>
    <row r="23" spans="1:3" ht="15.75">
      <c r="A23" s="1" t="s">
        <v>13</v>
      </c>
      <c r="B23" s="7">
        <f t="shared" si="0"/>
        <v>965.40916666666669</v>
      </c>
      <c r="C23" s="1">
        <v>11584.91</v>
      </c>
    </row>
    <row r="24" spans="1:3" ht="15.75">
      <c r="A24" s="1" t="s">
        <v>14</v>
      </c>
      <c r="B24" s="7">
        <f t="shared" si="0"/>
        <v>2750.8866666666668</v>
      </c>
      <c r="C24" s="1">
        <v>33010.639999999999</v>
      </c>
    </row>
    <row r="25" spans="1:3" ht="15.75">
      <c r="A25" s="1" t="s">
        <v>29</v>
      </c>
      <c r="B25" s="7">
        <f t="shared" si="0"/>
        <v>297.24083333333334</v>
      </c>
      <c r="C25" s="1">
        <v>3566.89</v>
      </c>
    </row>
    <row r="26" spans="1:3" ht="15.75">
      <c r="A26" s="1" t="s">
        <v>19</v>
      </c>
      <c r="B26" s="7">
        <f t="shared" si="0"/>
        <v>138.39166666666668</v>
      </c>
      <c r="C26" s="1">
        <v>1660.7</v>
      </c>
    </row>
    <row r="27" spans="1:3" ht="15.75">
      <c r="A27" s="1" t="s">
        <v>78</v>
      </c>
      <c r="B27" s="7">
        <f t="shared" si="0"/>
        <v>10435.929166666667</v>
      </c>
      <c r="C27" s="1">
        <v>125231.15</v>
      </c>
    </row>
    <row r="28" spans="1:3" ht="15.75">
      <c r="A28" s="6" t="s">
        <v>79</v>
      </c>
      <c r="B28" s="7">
        <f t="shared" si="0"/>
        <v>54750.676666666659</v>
      </c>
      <c r="C28" s="6">
        <f>SUM(C13:C27)</f>
        <v>657008.11999999988</v>
      </c>
    </row>
    <row r="29" spans="1:3" ht="15.75">
      <c r="A29" s="6" t="s">
        <v>80</v>
      </c>
      <c r="B29" s="7"/>
      <c r="C29" s="6"/>
    </row>
    <row r="30" spans="1:3" ht="15.75">
      <c r="A30" s="6" t="s">
        <v>81</v>
      </c>
      <c r="B30" s="1"/>
      <c r="C30" s="6">
        <v>19036.599999999999</v>
      </c>
    </row>
    <row r="31" spans="1:3" ht="15.75">
      <c r="A31" s="1" t="s">
        <v>33</v>
      </c>
      <c r="B31" s="6">
        <v>140231.99</v>
      </c>
      <c r="C31" s="1"/>
    </row>
    <row r="32" spans="1:3" ht="15.75">
      <c r="A32" s="1" t="s">
        <v>22</v>
      </c>
      <c r="B32" s="1"/>
      <c r="C32" s="1"/>
    </row>
    <row r="33" spans="1:2" ht="15.75">
      <c r="A33" s="1" t="s">
        <v>23</v>
      </c>
    </row>
    <row r="34" spans="1:2" ht="15.75">
      <c r="A34" s="1" t="s">
        <v>82</v>
      </c>
      <c r="B34" s="4">
        <v>52572.63</v>
      </c>
    </row>
    <row r="35" spans="1:2" ht="26.25" customHeight="1"/>
    <row r="36" spans="1:2" ht="15.75">
      <c r="A36" s="10" t="s">
        <v>73</v>
      </c>
    </row>
    <row r="38" spans="1:2">
      <c r="A38" t="s">
        <v>75</v>
      </c>
    </row>
    <row r="39" spans="1:2">
      <c r="A39" t="s">
        <v>74</v>
      </c>
    </row>
    <row r="41" spans="1:2">
      <c r="A41" t="s">
        <v>76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1"/>
  <sheetViews>
    <sheetView topLeftCell="A14" workbookViewId="0">
      <selection activeCell="C31" sqref="C31"/>
    </sheetView>
  </sheetViews>
  <sheetFormatPr defaultRowHeight="15"/>
  <cols>
    <col min="1" max="1" width="53" customWidth="1"/>
    <col min="2" max="2" width="14.42578125" customWidth="1"/>
    <col min="3" max="3" width="14" customWidth="1"/>
  </cols>
  <sheetData>
    <row r="1" spans="1:3" ht="15.75">
      <c r="A1" s="1" t="s">
        <v>0</v>
      </c>
    </row>
    <row r="2" spans="1:3" ht="15.75">
      <c r="A2" s="1" t="s">
        <v>120</v>
      </c>
      <c r="B2" s="1"/>
      <c r="C2" s="1"/>
    </row>
    <row r="3" spans="1:3" ht="15.75">
      <c r="A3" s="1" t="s">
        <v>92</v>
      </c>
      <c r="B3" s="1"/>
      <c r="C3" s="1"/>
    </row>
    <row r="4" spans="1:3" ht="15.75">
      <c r="A4" s="1" t="s">
        <v>28</v>
      </c>
      <c r="B4" s="1"/>
      <c r="C4" s="1"/>
    </row>
    <row r="5" spans="1:3" ht="15.75">
      <c r="A5" s="1" t="s">
        <v>77</v>
      </c>
      <c r="B5" s="1"/>
      <c r="C5" s="1"/>
    </row>
    <row r="6" spans="1:3" ht="15.75">
      <c r="A6" s="1"/>
      <c r="B6" s="1"/>
      <c r="C6" s="1"/>
    </row>
    <row r="7" spans="1:3" ht="15.75">
      <c r="A7" s="1" t="s">
        <v>1</v>
      </c>
      <c r="B7" s="1" t="s">
        <v>2</v>
      </c>
      <c r="C7" s="1" t="s">
        <v>3</v>
      </c>
    </row>
    <row r="8" spans="1:3" ht="15.75">
      <c r="A8" s="1" t="s">
        <v>138</v>
      </c>
      <c r="B8" s="2"/>
      <c r="C8" s="6">
        <v>-4866.22</v>
      </c>
    </row>
    <row r="9" spans="1:3" ht="15.75">
      <c r="A9" s="1" t="s">
        <v>4</v>
      </c>
      <c r="B9" s="7">
        <f>C9/12</f>
        <v>38261.042500000003</v>
      </c>
      <c r="C9" s="1">
        <v>459132.51</v>
      </c>
    </row>
    <row r="10" spans="1:3" ht="15.75">
      <c r="A10" s="1" t="s">
        <v>31</v>
      </c>
      <c r="B10" s="7">
        <f t="shared" ref="B10:B28" si="0">C10/12</f>
        <v>700.83333333333337</v>
      </c>
      <c r="C10" s="1">
        <v>8410</v>
      </c>
    </row>
    <row r="11" spans="1:3" ht="15.75">
      <c r="A11" s="6" t="s">
        <v>17</v>
      </c>
      <c r="B11" s="7">
        <f t="shared" si="0"/>
        <v>38961.875833333332</v>
      </c>
      <c r="C11" s="6">
        <f>SUM(C9:C10)</f>
        <v>467542.51</v>
      </c>
    </row>
    <row r="12" spans="1:3" ht="15.75">
      <c r="A12" s="1" t="s">
        <v>18</v>
      </c>
      <c r="B12" s="7">
        <f t="shared" si="0"/>
        <v>0</v>
      </c>
      <c r="C12" s="1"/>
    </row>
    <row r="13" spans="1:3" ht="15.75">
      <c r="A13" s="1" t="s">
        <v>25</v>
      </c>
      <c r="B13" s="7">
        <f t="shared" si="0"/>
        <v>9850.6075000000001</v>
      </c>
      <c r="C13" s="1">
        <f>96594.76+21612.53</f>
        <v>118207.29</v>
      </c>
    </row>
    <row r="14" spans="1:3" ht="15.75">
      <c r="A14" s="1" t="s">
        <v>32</v>
      </c>
      <c r="B14" s="7">
        <f t="shared" si="0"/>
        <v>5912.7033333333338</v>
      </c>
      <c r="C14" s="1">
        <f>30025.2+40927.24</f>
        <v>70952.44</v>
      </c>
    </row>
    <row r="15" spans="1:3" ht="15.75">
      <c r="A15" s="1" t="s">
        <v>5</v>
      </c>
      <c r="B15" s="7">
        <f t="shared" si="0"/>
        <v>0</v>
      </c>
      <c r="C15" s="1"/>
    </row>
    <row r="16" spans="1:3" ht="15.75">
      <c r="A16" s="1" t="s">
        <v>6</v>
      </c>
      <c r="B16" s="7">
        <f t="shared" si="0"/>
        <v>6199.083333333333</v>
      </c>
      <c r="C16" s="1">
        <v>74389</v>
      </c>
    </row>
    <row r="17" spans="1:3" ht="15.75">
      <c r="A17" s="1" t="s">
        <v>7</v>
      </c>
      <c r="B17" s="7">
        <f t="shared" si="0"/>
        <v>1422.86</v>
      </c>
      <c r="C17" s="1">
        <v>17074.32</v>
      </c>
    </row>
    <row r="18" spans="1:3" ht="15.75">
      <c r="A18" s="1" t="s">
        <v>8</v>
      </c>
      <c r="B18" s="7">
        <f t="shared" si="0"/>
        <v>234.73333333333335</v>
      </c>
      <c r="C18" s="1">
        <v>2816.8</v>
      </c>
    </row>
    <row r="19" spans="1:3" ht="15.75">
      <c r="A19" s="1" t="s">
        <v>9</v>
      </c>
      <c r="B19" s="7">
        <f t="shared" si="0"/>
        <v>0</v>
      </c>
      <c r="C19" s="1"/>
    </row>
    <row r="20" spans="1:3" ht="15.75">
      <c r="A20" s="1" t="s">
        <v>10</v>
      </c>
      <c r="B20" s="7">
        <f t="shared" si="0"/>
        <v>758.02833333333331</v>
      </c>
      <c r="C20" s="1">
        <v>9096.34</v>
      </c>
    </row>
    <row r="21" spans="1:3" ht="15.75">
      <c r="A21" s="1" t="s">
        <v>11</v>
      </c>
      <c r="B21" s="7">
        <f t="shared" si="0"/>
        <v>1901.8883333333333</v>
      </c>
      <c r="C21" s="1">
        <v>22822.66</v>
      </c>
    </row>
    <row r="22" spans="1:3" ht="15.75">
      <c r="A22" s="1" t="s">
        <v>12</v>
      </c>
      <c r="B22" s="7">
        <f t="shared" si="0"/>
        <v>2814.5400000000004</v>
      </c>
      <c r="C22" s="1">
        <v>33774.480000000003</v>
      </c>
    </row>
    <row r="23" spans="1:3" ht="15.75">
      <c r="A23" s="1" t="s">
        <v>13</v>
      </c>
      <c r="B23" s="7">
        <f t="shared" si="0"/>
        <v>599.02</v>
      </c>
      <c r="C23" s="1">
        <v>7188.24</v>
      </c>
    </row>
    <row r="24" spans="1:3" ht="15.75">
      <c r="A24" s="1" t="s">
        <v>14</v>
      </c>
      <c r="B24" s="7">
        <f t="shared" si="0"/>
        <v>2026.6433333333334</v>
      </c>
      <c r="C24" s="1">
        <v>24319.72</v>
      </c>
    </row>
    <row r="25" spans="1:3" ht="15.75">
      <c r="A25" s="1" t="s">
        <v>29</v>
      </c>
      <c r="B25" s="7">
        <f t="shared" si="0"/>
        <v>221.50750000000002</v>
      </c>
      <c r="C25" s="1">
        <v>2658.09</v>
      </c>
    </row>
    <row r="26" spans="1:3" ht="15.75">
      <c r="A26" s="1" t="s">
        <v>19</v>
      </c>
      <c r="B26" s="7">
        <f t="shared" si="0"/>
        <v>0</v>
      </c>
      <c r="C26" s="1"/>
    </row>
    <row r="27" spans="1:3" ht="15.75">
      <c r="A27" s="1" t="s">
        <v>78</v>
      </c>
      <c r="B27" s="7">
        <f t="shared" si="0"/>
        <v>9149.8508333333339</v>
      </c>
      <c r="C27" s="1">
        <v>109798.21</v>
      </c>
    </row>
    <row r="28" spans="1:3" ht="15.75">
      <c r="A28" s="6" t="s">
        <v>79</v>
      </c>
      <c r="B28" s="7">
        <f t="shared" si="0"/>
        <v>41091.465833333328</v>
      </c>
      <c r="C28" s="6">
        <f>SUM(C13:C27)</f>
        <v>493097.58999999997</v>
      </c>
    </row>
    <row r="29" spans="1:3" ht="15.75">
      <c r="A29" s="6" t="s">
        <v>80</v>
      </c>
      <c r="B29" s="7"/>
      <c r="C29" s="6"/>
    </row>
    <row r="30" spans="1:3" ht="15.75">
      <c r="A30" s="6" t="s">
        <v>81</v>
      </c>
      <c r="B30" s="1"/>
      <c r="C30" s="6">
        <v>30421.3</v>
      </c>
    </row>
    <row r="31" spans="1:3" ht="15.75">
      <c r="A31" s="1" t="s">
        <v>33</v>
      </c>
      <c r="B31" s="6">
        <v>94870.07</v>
      </c>
      <c r="C31" s="1"/>
    </row>
    <row r="32" spans="1:3" ht="15.75">
      <c r="A32" s="1" t="s">
        <v>22</v>
      </c>
      <c r="B32" s="1"/>
      <c r="C32" s="1"/>
    </row>
    <row r="33" spans="1:3" ht="15.75">
      <c r="A33" s="1" t="s">
        <v>23</v>
      </c>
    </row>
    <row r="34" spans="1:3" ht="15.75">
      <c r="A34" s="1" t="s">
        <v>82</v>
      </c>
      <c r="C34" s="4">
        <v>10288.209999999999</v>
      </c>
    </row>
    <row r="36" spans="1:3" ht="15.75">
      <c r="A36" s="10" t="s">
        <v>73</v>
      </c>
    </row>
    <row r="38" spans="1:3">
      <c r="A38" t="s">
        <v>75</v>
      </c>
    </row>
    <row r="39" spans="1:3">
      <c r="A39" t="s">
        <v>74</v>
      </c>
    </row>
    <row r="41" spans="1:3">
      <c r="A41" t="s">
        <v>76</v>
      </c>
    </row>
  </sheetData>
  <pageMargins left="0.7" right="0.7" top="0.75" bottom="0.75" header="0.3" footer="0.3"/>
  <pageSetup paperSize="9" orientation="portrait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C41"/>
  <sheetViews>
    <sheetView topLeftCell="A19" workbookViewId="0">
      <selection activeCell="B34" sqref="B34"/>
    </sheetView>
  </sheetViews>
  <sheetFormatPr defaultRowHeight="15"/>
  <cols>
    <col min="1" max="1" width="54" customWidth="1"/>
    <col min="2" max="3" width="15.5703125" customWidth="1"/>
  </cols>
  <sheetData>
    <row r="1" spans="1:3" ht="15.75">
      <c r="A1" s="1" t="s">
        <v>0</v>
      </c>
    </row>
    <row r="2" spans="1:3" ht="15.75">
      <c r="A2" s="1" t="s">
        <v>99</v>
      </c>
      <c r="B2" s="1"/>
      <c r="C2" s="1"/>
    </row>
    <row r="3" spans="1:3" ht="15.75">
      <c r="A3" s="1" t="s">
        <v>100</v>
      </c>
      <c r="B3" s="1"/>
      <c r="C3" s="1"/>
    </row>
    <row r="4" spans="1:3" ht="15.75">
      <c r="A4" s="1" t="s">
        <v>28</v>
      </c>
      <c r="B4" s="1"/>
      <c r="C4" s="1"/>
    </row>
    <row r="5" spans="1:3" ht="15.75">
      <c r="A5" s="1" t="s">
        <v>77</v>
      </c>
      <c r="B5" s="1"/>
      <c r="C5" s="1"/>
    </row>
    <row r="6" spans="1:3" ht="15.75">
      <c r="A6" s="1"/>
      <c r="B6" s="1"/>
      <c r="C6" s="1"/>
    </row>
    <row r="7" spans="1:3" ht="15.75">
      <c r="A7" s="1" t="s">
        <v>1</v>
      </c>
      <c r="B7" s="1" t="s">
        <v>2</v>
      </c>
      <c r="C7" s="1" t="s">
        <v>3</v>
      </c>
    </row>
    <row r="8" spans="1:3" ht="15.75">
      <c r="A8" s="1" t="s">
        <v>24</v>
      </c>
      <c r="B8" s="2"/>
      <c r="C8" s="6">
        <v>25030.29</v>
      </c>
    </row>
    <row r="9" spans="1:3" ht="15.75">
      <c r="A9" s="1" t="s">
        <v>4</v>
      </c>
      <c r="B9" s="7">
        <f>C9/12</f>
        <v>36374.615833333337</v>
      </c>
      <c r="C9" s="1">
        <v>436495.39</v>
      </c>
    </row>
    <row r="10" spans="1:3" ht="15.75">
      <c r="A10" s="1" t="s">
        <v>31</v>
      </c>
      <c r="B10" s="7">
        <f t="shared" ref="B10:B28" si="0">C10/12</f>
        <v>767.5</v>
      </c>
      <c r="C10" s="1">
        <v>9210</v>
      </c>
    </row>
    <row r="11" spans="1:3" ht="15.75">
      <c r="A11" s="6" t="s">
        <v>17</v>
      </c>
      <c r="B11" s="7">
        <f t="shared" si="0"/>
        <v>37142.115833333337</v>
      </c>
      <c r="C11" s="6">
        <f>SUM(C9:C10)</f>
        <v>445705.39</v>
      </c>
    </row>
    <row r="12" spans="1:3" ht="15.75">
      <c r="A12" s="1" t="s">
        <v>18</v>
      </c>
      <c r="B12" s="7">
        <f t="shared" si="0"/>
        <v>0</v>
      </c>
      <c r="C12" s="1"/>
    </row>
    <row r="13" spans="1:3" ht="15.75">
      <c r="A13" s="1" t="s">
        <v>25</v>
      </c>
      <c r="B13" s="7">
        <f t="shared" si="0"/>
        <v>9303.6200000000008</v>
      </c>
      <c r="C13" s="1">
        <f>91231.02+20412.42</f>
        <v>111643.44</v>
      </c>
    </row>
    <row r="14" spans="1:3" ht="15.75">
      <c r="A14" s="1" t="s">
        <v>32</v>
      </c>
      <c r="B14" s="7">
        <f t="shared" si="0"/>
        <v>7042.5083333333341</v>
      </c>
      <c r="C14" s="1">
        <f>24808.61+59701.49</f>
        <v>84510.1</v>
      </c>
    </row>
    <row r="15" spans="1:3" ht="15.75">
      <c r="A15" s="1" t="s">
        <v>5</v>
      </c>
      <c r="B15" s="7">
        <f t="shared" si="0"/>
        <v>0</v>
      </c>
      <c r="C15" s="1"/>
    </row>
    <row r="16" spans="1:3" ht="15.75">
      <c r="A16" s="1" t="s">
        <v>6</v>
      </c>
      <c r="B16" s="7">
        <f t="shared" si="0"/>
        <v>951.75</v>
      </c>
      <c r="C16" s="1">
        <v>11421</v>
      </c>
    </row>
    <row r="17" spans="1:3" ht="15.75">
      <c r="A17" s="1" t="s">
        <v>7</v>
      </c>
      <c r="B17" s="7">
        <f t="shared" si="0"/>
        <v>1362.4649999999999</v>
      </c>
      <c r="C17" s="1">
        <v>16349.58</v>
      </c>
    </row>
    <row r="18" spans="1:3" ht="15.75">
      <c r="A18" s="1" t="s">
        <v>8</v>
      </c>
      <c r="B18" s="7">
        <f t="shared" si="0"/>
        <v>279.08999999999997</v>
      </c>
      <c r="C18" s="1">
        <v>3349.08</v>
      </c>
    </row>
    <row r="19" spans="1:3" ht="15.75">
      <c r="A19" s="1" t="s">
        <v>9</v>
      </c>
      <c r="B19" s="7">
        <f t="shared" si="0"/>
        <v>0</v>
      </c>
      <c r="C19" s="1"/>
    </row>
    <row r="20" spans="1:3" ht="15.75">
      <c r="A20" s="1" t="s">
        <v>10</v>
      </c>
      <c r="B20" s="7">
        <f t="shared" si="0"/>
        <v>758.02833333333331</v>
      </c>
      <c r="C20" s="1">
        <v>9096.34</v>
      </c>
    </row>
    <row r="21" spans="1:3" ht="15.75">
      <c r="A21" s="1" t="s">
        <v>11</v>
      </c>
      <c r="B21" s="7">
        <f t="shared" si="0"/>
        <v>1809.79</v>
      </c>
      <c r="C21" s="1">
        <v>21717.48</v>
      </c>
    </row>
    <row r="22" spans="1:3" ht="15.75">
      <c r="A22" s="1" t="s">
        <v>12</v>
      </c>
      <c r="B22" s="7">
        <f t="shared" si="0"/>
        <v>2658.2533333333336</v>
      </c>
      <c r="C22" s="1">
        <v>31899.040000000001</v>
      </c>
    </row>
    <row r="23" spans="1:3" ht="15.75">
      <c r="A23" s="1" t="s">
        <v>13</v>
      </c>
      <c r="B23" s="7">
        <f t="shared" si="0"/>
        <v>646.48166666666668</v>
      </c>
      <c r="C23" s="1">
        <v>7757.78</v>
      </c>
    </row>
    <row r="24" spans="1:3" ht="15.75">
      <c r="A24" s="1" t="s">
        <v>14</v>
      </c>
      <c r="B24" s="7">
        <f t="shared" si="0"/>
        <v>1931.9858333333334</v>
      </c>
      <c r="C24" s="1">
        <v>23183.83</v>
      </c>
    </row>
    <row r="25" spans="1:3" ht="15.75">
      <c r="A25" s="1" t="s">
        <v>29</v>
      </c>
      <c r="B25" s="7">
        <f t="shared" si="0"/>
        <v>239.77083333333334</v>
      </c>
      <c r="C25" s="1">
        <v>2877.25</v>
      </c>
    </row>
    <row r="26" spans="1:3" ht="15.75">
      <c r="A26" s="1" t="s">
        <v>19</v>
      </c>
      <c r="B26" s="7">
        <f t="shared" si="0"/>
        <v>0</v>
      </c>
      <c r="C26" s="1"/>
    </row>
    <row r="27" spans="1:3" ht="15.75">
      <c r="A27" s="1" t="s">
        <v>78</v>
      </c>
      <c r="B27" s="7">
        <f t="shared" si="0"/>
        <v>8760.9658333333336</v>
      </c>
      <c r="C27" s="1">
        <v>105131.59</v>
      </c>
    </row>
    <row r="28" spans="1:3" ht="15.75">
      <c r="A28" s="6" t="s">
        <v>79</v>
      </c>
      <c r="B28" s="7">
        <f t="shared" si="0"/>
        <v>35744.709166666667</v>
      </c>
      <c r="C28" s="6">
        <f>SUM(C13:C27)</f>
        <v>428936.51</v>
      </c>
    </row>
    <row r="29" spans="1:3" ht="15.75">
      <c r="A29" s="6" t="s">
        <v>80</v>
      </c>
      <c r="B29" s="7"/>
      <c r="C29" s="6">
        <v>41799.17</v>
      </c>
    </row>
    <row r="30" spans="1:3" ht="15.75">
      <c r="A30" s="6" t="s">
        <v>81</v>
      </c>
      <c r="B30" s="1"/>
      <c r="C30" s="6"/>
    </row>
    <row r="31" spans="1:3" ht="15.75">
      <c r="A31" s="1" t="s">
        <v>33</v>
      </c>
      <c r="B31" s="6">
        <v>83897.55</v>
      </c>
      <c r="C31" s="1"/>
    </row>
    <row r="32" spans="1:3" ht="15.75">
      <c r="A32" s="1" t="s">
        <v>22</v>
      </c>
      <c r="B32" s="1"/>
      <c r="C32" s="1"/>
    </row>
    <row r="33" spans="1:2" ht="15.75">
      <c r="A33" s="1" t="s">
        <v>23</v>
      </c>
    </row>
    <row r="34" spans="1:2" ht="15.75">
      <c r="A34" s="1" t="s">
        <v>82</v>
      </c>
      <c r="B34" s="4">
        <v>31950.85</v>
      </c>
    </row>
    <row r="35" spans="1:2" ht="36.75" customHeight="1"/>
    <row r="36" spans="1:2" ht="15.75">
      <c r="A36" s="10" t="s">
        <v>73</v>
      </c>
    </row>
    <row r="37" spans="1:2" ht="33" customHeight="1"/>
    <row r="38" spans="1:2">
      <c r="A38" t="s">
        <v>75</v>
      </c>
    </row>
    <row r="39" spans="1:2">
      <c r="A39" t="s">
        <v>74</v>
      </c>
    </row>
    <row r="41" spans="1:2">
      <c r="A41" t="s">
        <v>76</v>
      </c>
    </row>
  </sheetData>
  <pageMargins left="0.7" right="0.7" top="0.75" bottom="0.75" header="0.3" footer="0.3"/>
  <pageSetup paperSize="9" orientation="portrait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C41"/>
  <sheetViews>
    <sheetView workbookViewId="0">
      <selection activeCell="C30" sqref="C30"/>
    </sheetView>
  </sheetViews>
  <sheetFormatPr defaultRowHeight="15"/>
  <cols>
    <col min="1" max="1" width="52.85546875" customWidth="1"/>
    <col min="2" max="2" width="13.5703125" customWidth="1"/>
    <col min="3" max="3" width="14.5703125" customWidth="1"/>
  </cols>
  <sheetData>
    <row r="1" spans="1:3" ht="15.75">
      <c r="A1" s="1" t="s">
        <v>0</v>
      </c>
    </row>
    <row r="2" spans="1:3" ht="15.75">
      <c r="A2" s="1" t="s">
        <v>98</v>
      </c>
      <c r="B2" s="1"/>
      <c r="C2" s="1"/>
    </row>
    <row r="3" spans="1:3" ht="15.75">
      <c r="A3" s="1" t="s">
        <v>92</v>
      </c>
      <c r="B3" s="1"/>
      <c r="C3" s="1"/>
    </row>
    <row r="4" spans="1:3" ht="15.75">
      <c r="A4" s="1" t="s">
        <v>28</v>
      </c>
      <c r="B4" s="1"/>
      <c r="C4" s="1"/>
    </row>
    <row r="5" spans="1:3" ht="15.75">
      <c r="A5" s="1" t="s">
        <v>77</v>
      </c>
      <c r="B5" s="1"/>
      <c r="C5" s="1"/>
    </row>
    <row r="6" spans="1:3" ht="15.75">
      <c r="A6" s="1"/>
      <c r="B6" s="1"/>
      <c r="C6" s="1"/>
    </row>
    <row r="7" spans="1:3" ht="15.75">
      <c r="A7" s="1" t="s">
        <v>1</v>
      </c>
      <c r="B7" s="1" t="s">
        <v>2</v>
      </c>
      <c r="C7" s="1" t="s">
        <v>3</v>
      </c>
    </row>
    <row r="8" spans="1:3" ht="15.75">
      <c r="A8" s="6" t="s">
        <v>138</v>
      </c>
      <c r="B8" s="2"/>
      <c r="C8" s="6">
        <v>-2381.12</v>
      </c>
    </row>
    <row r="9" spans="1:3" ht="15.75">
      <c r="A9" s="1" t="s">
        <v>4</v>
      </c>
      <c r="B9" s="7">
        <f>C9/12</f>
        <v>36807.052499999998</v>
      </c>
      <c r="C9" s="1">
        <v>441684.63</v>
      </c>
    </row>
    <row r="10" spans="1:3" ht="15.75">
      <c r="A10" s="1" t="s">
        <v>31</v>
      </c>
      <c r="B10" s="7">
        <f t="shared" ref="B10:B28" si="0">C10/12</f>
        <v>633.33333333333337</v>
      </c>
      <c r="C10" s="1">
        <v>7600</v>
      </c>
    </row>
    <row r="11" spans="1:3" ht="15.75">
      <c r="A11" s="6" t="s">
        <v>17</v>
      </c>
      <c r="B11" s="7">
        <f t="shared" si="0"/>
        <v>37440.385833333334</v>
      </c>
      <c r="C11" s="6">
        <f>SUM(C9:C10)</f>
        <v>449284.63</v>
      </c>
    </row>
    <row r="12" spans="1:3" ht="15.75">
      <c r="A12" s="1" t="s">
        <v>18</v>
      </c>
      <c r="B12" s="7">
        <f t="shared" si="0"/>
        <v>0</v>
      </c>
      <c r="C12" s="1"/>
    </row>
    <row r="13" spans="1:3" ht="15.75">
      <c r="A13" s="1" t="s">
        <v>25</v>
      </c>
      <c r="B13" s="7">
        <f t="shared" si="0"/>
        <v>8564.2075000000004</v>
      </c>
      <c r="C13" s="1">
        <f>83980.36+18790.13</f>
        <v>102770.49</v>
      </c>
    </row>
    <row r="14" spans="1:3" ht="15.75">
      <c r="A14" s="1" t="s">
        <v>32</v>
      </c>
      <c r="B14" s="7">
        <f t="shared" si="0"/>
        <v>6502.8758333333326</v>
      </c>
      <c r="C14" s="1">
        <f>22415.76+55618.75</f>
        <v>78034.509999999995</v>
      </c>
    </row>
    <row r="15" spans="1:3" ht="15.75">
      <c r="A15" s="1" t="s">
        <v>5</v>
      </c>
      <c r="B15" s="7">
        <f t="shared" si="0"/>
        <v>0</v>
      </c>
      <c r="C15" s="1"/>
    </row>
    <row r="16" spans="1:3" ht="15.75">
      <c r="A16" s="1" t="s">
        <v>6</v>
      </c>
      <c r="B16" s="7">
        <f t="shared" si="0"/>
        <v>402.91666666666669</v>
      </c>
      <c r="C16" s="1">
        <v>4835</v>
      </c>
    </row>
    <row r="17" spans="1:3" ht="15.75">
      <c r="A17" s="1" t="s">
        <v>7</v>
      </c>
      <c r="B17" s="7">
        <f t="shared" si="0"/>
        <v>1359.875</v>
      </c>
      <c r="C17" s="1">
        <v>16318.5</v>
      </c>
    </row>
    <row r="18" spans="1:3" ht="15.75">
      <c r="A18" s="1" t="s">
        <v>8</v>
      </c>
      <c r="B18" s="7">
        <f t="shared" si="0"/>
        <v>264.28000000000003</v>
      </c>
      <c r="C18" s="1">
        <v>3171.36</v>
      </c>
    </row>
    <row r="19" spans="1:3" ht="15.75">
      <c r="A19" s="1" t="s">
        <v>9</v>
      </c>
      <c r="B19" s="7">
        <f t="shared" si="0"/>
        <v>0</v>
      </c>
      <c r="C19" s="1"/>
    </row>
    <row r="20" spans="1:3" ht="15.75">
      <c r="A20" s="1" t="s">
        <v>10</v>
      </c>
      <c r="B20" s="7">
        <f t="shared" si="0"/>
        <v>758.02833333333331</v>
      </c>
      <c r="C20" s="1">
        <v>9096.34</v>
      </c>
    </row>
    <row r="21" spans="1:3" ht="15.75">
      <c r="A21" s="1" t="s">
        <v>11</v>
      </c>
      <c r="B21" s="7">
        <f t="shared" si="0"/>
        <v>1830.6058333333333</v>
      </c>
      <c r="C21" s="1">
        <v>21967.27</v>
      </c>
    </row>
    <row r="22" spans="1:3" ht="15.75">
      <c r="A22" s="1" t="s">
        <v>12</v>
      </c>
      <c r="B22" s="7">
        <f t="shared" si="0"/>
        <v>2446.9866666666667</v>
      </c>
      <c r="C22" s="1">
        <v>29363.84</v>
      </c>
    </row>
    <row r="23" spans="1:3" ht="15.75">
      <c r="A23" s="1" t="s">
        <v>13</v>
      </c>
      <c r="B23" s="7">
        <f t="shared" si="0"/>
        <v>2995.4749999999999</v>
      </c>
      <c r="C23" s="1">
        <v>35945.699999999997</v>
      </c>
    </row>
    <row r="24" spans="1:3" ht="15.75">
      <c r="A24" s="1" t="s">
        <v>14</v>
      </c>
      <c r="B24" s="7">
        <f t="shared" si="0"/>
        <v>1947.5008333333333</v>
      </c>
      <c r="C24" s="1">
        <v>23370.01</v>
      </c>
    </row>
    <row r="25" spans="1:3" ht="15.75">
      <c r="A25" s="1" t="s">
        <v>29</v>
      </c>
      <c r="B25" s="7">
        <f t="shared" si="0"/>
        <v>239.77083333333334</v>
      </c>
      <c r="C25" s="1">
        <v>2877.25</v>
      </c>
    </row>
    <row r="26" spans="1:3" ht="15.75">
      <c r="A26" s="1" t="s">
        <v>19</v>
      </c>
      <c r="B26" s="7">
        <f t="shared" si="0"/>
        <v>0</v>
      </c>
      <c r="C26" s="1"/>
    </row>
    <row r="27" spans="1:3" ht="15.75">
      <c r="A27" s="1" t="s">
        <v>78</v>
      </c>
      <c r="B27" s="7">
        <f t="shared" si="0"/>
        <v>8744.2958333333336</v>
      </c>
      <c r="C27" s="1">
        <v>104931.55</v>
      </c>
    </row>
    <row r="28" spans="1:3" ht="15.75">
      <c r="A28" s="6" t="s">
        <v>79</v>
      </c>
      <c r="B28" s="7">
        <f t="shared" si="0"/>
        <v>36056.818333333336</v>
      </c>
      <c r="C28" s="6">
        <f>SUM(C13:C27)</f>
        <v>432681.82</v>
      </c>
    </row>
    <row r="29" spans="1:3" ht="15.75">
      <c r="A29" s="6" t="s">
        <v>80</v>
      </c>
      <c r="B29" s="7"/>
      <c r="C29" s="6">
        <v>14221.69</v>
      </c>
    </row>
    <row r="30" spans="1:3" ht="15.75">
      <c r="A30" s="6" t="s">
        <v>81</v>
      </c>
      <c r="B30" s="1"/>
      <c r="C30" s="6"/>
    </row>
    <row r="31" spans="1:3" ht="15.75">
      <c r="A31" s="1" t="s">
        <v>33</v>
      </c>
      <c r="B31" s="6">
        <v>132867.82</v>
      </c>
      <c r="C31" s="1"/>
    </row>
    <row r="32" spans="1:3" ht="15.75">
      <c r="A32" s="1" t="s">
        <v>22</v>
      </c>
      <c r="B32" s="1"/>
      <c r="C32" s="1"/>
    </row>
    <row r="33" spans="1:2" ht="15.75">
      <c r="A33" s="1" t="s">
        <v>23</v>
      </c>
    </row>
    <row r="34" spans="1:2" ht="18.75">
      <c r="A34" s="1" t="s">
        <v>82</v>
      </c>
      <c r="B34" s="14">
        <v>1667.5</v>
      </c>
    </row>
    <row r="35" spans="1:2" ht="31.5" customHeight="1"/>
    <row r="36" spans="1:2" ht="15.75">
      <c r="A36" s="10" t="s">
        <v>73</v>
      </c>
    </row>
    <row r="38" spans="1:2">
      <c r="A38" t="s">
        <v>75</v>
      </c>
    </row>
    <row r="39" spans="1:2">
      <c r="A39" t="s">
        <v>74</v>
      </c>
    </row>
    <row r="41" spans="1:2">
      <c r="A41" t="s">
        <v>76</v>
      </c>
    </row>
  </sheetData>
  <pageMargins left="0.7" right="0.7" top="0.75" bottom="0.75" header="0.3" footer="0.3"/>
  <pageSetup paperSize="9" orientation="portrait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E41"/>
  <sheetViews>
    <sheetView topLeftCell="A4" workbookViewId="0">
      <selection activeCell="E25" sqref="E25"/>
    </sheetView>
  </sheetViews>
  <sheetFormatPr defaultRowHeight="15"/>
  <cols>
    <col min="1" max="1" width="52.85546875" customWidth="1"/>
    <col min="2" max="2" width="14" customWidth="1"/>
    <col min="3" max="3" width="14.42578125" customWidth="1"/>
  </cols>
  <sheetData>
    <row r="1" spans="1:3" ht="15.75">
      <c r="A1" s="1" t="s">
        <v>0</v>
      </c>
    </row>
    <row r="2" spans="1:3" ht="15.75">
      <c r="A2" s="1" t="s">
        <v>97</v>
      </c>
      <c r="B2" s="1"/>
      <c r="C2" s="1"/>
    </row>
    <row r="3" spans="1:3" ht="15.75">
      <c r="A3" s="1" t="s">
        <v>92</v>
      </c>
      <c r="B3" s="1"/>
      <c r="C3" s="1"/>
    </row>
    <row r="4" spans="1:3" ht="15.75">
      <c r="A4" s="1" t="s">
        <v>28</v>
      </c>
      <c r="B4" s="1"/>
      <c r="C4" s="1"/>
    </row>
    <row r="5" spans="1:3" ht="15.75">
      <c r="A5" s="1" t="s">
        <v>77</v>
      </c>
      <c r="B5" s="1"/>
      <c r="C5" s="1"/>
    </row>
    <row r="6" spans="1:3" ht="15.75">
      <c r="A6" s="1"/>
      <c r="B6" s="1"/>
      <c r="C6" s="1"/>
    </row>
    <row r="7" spans="1:3" ht="15.75">
      <c r="A7" s="1" t="s">
        <v>1</v>
      </c>
      <c r="B7" s="1" t="s">
        <v>2</v>
      </c>
      <c r="C7" s="1" t="s">
        <v>3</v>
      </c>
    </row>
    <row r="8" spans="1:3" ht="15.75">
      <c r="A8" s="1" t="s">
        <v>138</v>
      </c>
      <c r="B8" s="2"/>
      <c r="C8" s="6">
        <v>-8156.4</v>
      </c>
    </row>
    <row r="9" spans="1:3" ht="15.75">
      <c r="A9" s="1" t="s">
        <v>4</v>
      </c>
      <c r="B9" s="7">
        <f>C9/12</f>
        <v>51593.928333333337</v>
      </c>
      <c r="C9" s="1">
        <v>619127.14</v>
      </c>
    </row>
    <row r="10" spans="1:3" ht="15.75">
      <c r="A10" s="1" t="s">
        <v>31</v>
      </c>
      <c r="B10" s="7">
        <f t="shared" ref="B10:B28" si="0">C10/12</f>
        <v>5005.4275000000007</v>
      </c>
      <c r="C10" s="1">
        <f>11831.73+48233.4</f>
        <v>60065.130000000005</v>
      </c>
    </row>
    <row r="11" spans="1:3" ht="15.75">
      <c r="A11" s="6" t="s">
        <v>17</v>
      </c>
      <c r="B11" s="7">
        <f t="shared" si="0"/>
        <v>56599.355833333335</v>
      </c>
      <c r="C11" s="6">
        <f>SUM(C9:C10)</f>
        <v>679192.27</v>
      </c>
    </row>
    <row r="12" spans="1:3" ht="15.75">
      <c r="A12" s="1" t="s">
        <v>18</v>
      </c>
      <c r="B12" s="7">
        <f t="shared" si="0"/>
        <v>0</v>
      </c>
      <c r="C12" s="1"/>
    </row>
    <row r="13" spans="1:3" ht="15.75">
      <c r="A13" s="1" t="s">
        <v>25</v>
      </c>
      <c r="B13" s="7">
        <f t="shared" si="0"/>
        <v>14580.271666666666</v>
      </c>
      <c r="C13" s="1">
        <f>142973.71+31989.55</f>
        <v>174963.25999999998</v>
      </c>
    </row>
    <row r="14" spans="1:3" ht="15.75">
      <c r="A14" s="1" t="s">
        <v>32</v>
      </c>
      <c r="B14" s="7">
        <f t="shared" si="0"/>
        <v>9895.6308333333327</v>
      </c>
      <c r="C14" s="1">
        <f>36681.17+82066.4</f>
        <v>118747.56999999999</v>
      </c>
    </row>
    <row r="15" spans="1:3" ht="15.75">
      <c r="A15" s="1" t="s">
        <v>5</v>
      </c>
      <c r="B15" s="7">
        <f t="shared" si="0"/>
        <v>0</v>
      </c>
      <c r="C15" s="1"/>
    </row>
    <row r="16" spans="1:3" ht="15.75">
      <c r="A16" s="1" t="s">
        <v>6</v>
      </c>
      <c r="B16" s="7">
        <f t="shared" si="0"/>
        <v>8636.5</v>
      </c>
      <c r="C16" s="1">
        <v>103638</v>
      </c>
    </row>
    <row r="17" spans="1:5" ht="15.75">
      <c r="A17" s="1" t="s">
        <v>7</v>
      </c>
      <c r="B17" s="7">
        <f t="shared" si="0"/>
        <v>2141.66</v>
      </c>
      <c r="C17" s="1">
        <v>25699.919999999998</v>
      </c>
    </row>
    <row r="18" spans="1:5" ht="15.75">
      <c r="A18" s="1" t="s">
        <v>8</v>
      </c>
      <c r="B18" s="7">
        <f t="shared" si="0"/>
        <v>0</v>
      </c>
      <c r="C18" s="1"/>
    </row>
    <row r="19" spans="1:5" ht="15.75">
      <c r="A19" s="1" t="s">
        <v>9</v>
      </c>
      <c r="B19" s="7">
        <f t="shared" si="0"/>
        <v>0</v>
      </c>
      <c r="C19" s="1"/>
    </row>
    <row r="20" spans="1:5" ht="15.75">
      <c r="A20" s="1" t="s">
        <v>10</v>
      </c>
      <c r="B20" s="7">
        <f t="shared" si="0"/>
        <v>1023.3383333333333</v>
      </c>
      <c r="C20" s="1">
        <v>12280.06</v>
      </c>
    </row>
    <row r="21" spans="1:5" ht="15.75">
      <c r="A21" s="1" t="s">
        <v>11</v>
      </c>
      <c r="B21" s="7">
        <f t="shared" si="0"/>
        <v>2602.3074999999999</v>
      </c>
      <c r="C21" s="1">
        <v>31227.69</v>
      </c>
    </row>
    <row r="22" spans="1:5" ht="15.75">
      <c r="A22" s="1" t="s">
        <v>12</v>
      </c>
      <c r="B22" s="7">
        <f t="shared" si="0"/>
        <v>4165.9108333333334</v>
      </c>
      <c r="C22" s="1">
        <v>49990.93</v>
      </c>
    </row>
    <row r="23" spans="1:5" ht="15.75">
      <c r="A23" s="1" t="s">
        <v>13</v>
      </c>
      <c r="B23" s="7">
        <f t="shared" si="0"/>
        <v>815.5291666666667</v>
      </c>
      <c r="C23" s="1">
        <v>9786.35</v>
      </c>
    </row>
    <row r="24" spans="1:5" ht="15.75">
      <c r="A24" s="1" t="s">
        <v>14</v>
      </c>
      <c r="B24" s="7">
        <f t="shared" si="0"/>
        <v>2944.0750000000003</v>
      </c>
      <c r="C24" s="1">
        <v>35328.9</v>
      </c>
    </row>
    <row r="25" spans="1:5" ht="15.75">
      <c r="A25" s="1" t="s">
        <v>29</v>
      </c>
      <c r="B25" s="7">
        <f t="shared" si="0"/>
        <v>343.63749999999999</v>
      </c>
      <c r="C25" s="1">
        <v>4123.6499999999996</v>
      </c>
      <c r="E25" t="s">
        <v>142</v>
      </c>
    </row>
    <row r="26" spans="1:5" ht="15.75">
      <c r="A26" s="1" t="s">
        <v>19</v>
      </c>
      <c r="B26" s="7">
        <f t="shared" si="0"/>
        <v>1824.5775000000001</v>
      </c>
      <c r="C26" s="1">
        <v>21894.93</v>
      </c>
    </row>
    <row r="27" spans="1:5" ht="15.75">
      <c r="A27" s="1" t="s">
        <v>78</v>
      </c>
      <c r="B27" s="7">
        <f t="shared" si="0"/>
        <v>12481.466666666667</v>
      </c>
      <c r="C27" s="1">
        <v>149777.60000000001</v>
      </c>
    </row>
    <row r="28" spans="1:5" ht="15.75">
      <c r="A28" s="6" t="s">
        <v>79</v>
      </c>
      <c r="B28" s="7">
        <f t="shared" si="0"/>
        <v>61454.904999999999</v>
      </c>
      <c r="C28" s="6">
        <f>SUM(C13:C27)</f>
        <v>737458.86</v>
      </c>
    </row>
    <row r="29" spans="1:5" ht="15.75">
      <c r="A29" s="6" t="s">
        <v>80</v>
      </c>
      <c r="B29" s="7"/>
      <c r="C29" s="6"/>
    </row>
    <row r="30" spans="1:5" ht="15.75">
      <c r="A30" s="6" t="s">
        <v>81</v>
      </c>
      <c r="B30" s="1"/>
      <c r="C30" s="6">
        <v>66422.990000000005</v>
      </c>
    </row>
    <row r="31" spans="1:5" ht="15.75">
      <c r="A31" s="1" t="s">
        <v>33</v>
      </c>
      <c r="B31" s="6">
        <v>221587.20000000001</v>
      </c>
      <c r="C31" s="1"/>
    </row>
    <row r="32" spans="1:5" ht="15.75">
      <c r="A32" s="1" t="s">
        <v>22</v>
      </c>
      <c r="B32" s="1"/>
      <c r="C32" s="1"/>
    </row>
    <row r="33" spans="1:2" ht="15.75">
      <c r="A33" s="1" t="s">
        <v>23</v>
      </c>
    </row>
    <row r="34" spans="1:2" ht="18.75">
      <c r="A34" s="1" t="s">
        <v>137</v>
      </c>
      <c r="B34" s="14">
        <v>0</v>
      </c>
    </row>
    <row r="36" spans="1:2" ht="15.75">
      <c r="A36" s="10" t="s">
        <v>73</v>
      </c>
    </row>
    <row r="38" spans="1:2">
      <c r="A38" t="s">
        <v>75</v>
      </c>
    </row>
    <row r="39" spans="1:2">
      <c r="A39" t="s">
        <v>74</v>
      </c>
    </row>
    <row r="41" spans="1:2">
      <c r="A41" t="s">
        <v>76</v>
      </c>
    </row>
  </sheetData>
  <pageMargins left="0.7" right="0.7" top="0.75" bottom="0.75" header="0.3" footer="0.3"/>
  <pageSetup paperSize="9" orientation="portrait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C41"/>
  <sheetViews>
    <sheetView topLeftCell="A19" workbookViewId="0">
      <selection activeCell="A8" sqref="A8"/>
    </sheetView>
  </sheetViews>
  <sheetFormatPr defaultRowHeight="15"/>
  <cols>
    <col min="1" max="1" width="53.7109375" customWidth="1"/>
    <col min="2" max="2" width="13.85546875" customWidth="1"/>
    <col min="3" max="3" width="15.140625" customWidth="1"/>
  </cols>
  <sheetData>
    <row r="1" spans="1:3" ht="15.75">
      <c r="A1" s="1" t="s">
        <v>0</v>
      </c>
    </row>
    <row r="2" spans="1:3" ht="15.75">
      <c r="A2" s="1" t="s">
        <v>96</v>
      </c>
      <c r="B2" s="1"/>
      <c r="C2" s="1"/>
    </row>
    <row r="3" spans="1:3" ht="15.75">
      <c r="A3" s="1" t="s">
        <v>92</v>
      </c>
      <c r="B3" s="1"/>
      <c r="C3" s="1"/>
    </row>
    <row r="4" spans="1:3" ht="15.75">
      <c r="A4" s="1" t="s">
        <v>28</v>
      </c>
      <c r="B4" s="1"/>
      <c r="C4" s="1"/>
    </row>
    <row r="5" spans="1:3" ht="15.75">
      <c r="A5" s="1" t="s">
        <v>77</v>
      </c>
      <c r="B5" s="1"/>
      <c r="C5" s="1"/>
    </row>
    <row r="6" spans="1:3" ht="15.75">
      <c r="A6" s="1"/>
      <c r="B6" s="1"/>
      <c r="C6" s="1"/>
    </row>
    <row r="7" spans="1:3" ht="15.75">
      <c r="A7" s="1" t="s">
        <v>1</v>
      </c>
      <c r="B7" s="1" t="s">
        <v>2</v>
      </c>
      <c r="C7" s="1" t="s">
        <v>3</v>
      </c>
    </row>
    <row r="8" spans="1:3" ht="15.75">
      <c r="A8" s="6" t="s">
        <v>138</v>
      </c>
      <c r="B8" s="2"/>
      <c r="C8" s="6">
        <v>-32836.269999999997</v>
      </c>
    </row>
    <row r="9" spans="1:3" ht="15.75">
      <c r="A9" s="1" t="s">
        <v>4</v>
      </c>
      <c r="B9" s="7">
        <f>C9/12</f>
        <v>29161.523333333334</v>
      </c>
      <c r="C9" s="1">
        <v>349938.28</v>
      </c>
    </row>
    <row r="10" spans="1:3" ht="15.75">
      <c r="A10" s="1" t="s">
        <v>31</v>
      </c>
      <c r="B10" s="7">
        <f t="shared" ref="B10:B28" si="0">C10/12</f>
        <v>8283.5533333333333</v>
      </c>
      <c r="C10" s="1">
        <f>23428.42+75974.22</f>
        <v>99402.64</v>
      </c>
    </row>
    <row r="11" spans="1:3" ht="15.75">
      <c r="A11" s="6" t="s">
        <v>17</v>
      </c>
      <c r="B11" s="7">
        <f t="shared" si="0"/>
        <v>37445.076666666668</v>
      </c>
      <c r="C11" s="6">
        <f>SUM(C9:C10)</f>
        <v>449340.92000000004</v>
      </c>
    </row>
    <row r="12" spans="1:3" ht="15.75">
      <c r="A12" s="1" t="s">
        <v>18</v>
      </c>
      <c r="B12" s="7">
        <f t="shared" si="0"/>
        <v>0</v>
      </c>
      <c r="C12" s="1"/>
    </row>
    <row r="13" spans="1:3" ht="15.75">
      <c r="A13" s="1" t="s">
        <v>25</v>
      </c>
      <c r="B13" s="7">
        <f t="shared" si="0"/>
        <v>10785.9275</v>
      </c>
      <c r="C13" s="1">
        <v>129431.13</v>
      </c>
    </row>
    <row r="14" spans="1:3" ht="15.75">
      <c r="A14" s="1" t="s">
        <v>32</v>
      </c>
      <c r="B14" s="7">
        <f t="shared" si="0"/>
        <v>13303.275</v>
      </c>
      <c r="C14" s="1">
        <v>159639.29999999999</v>
      </c>
    </row>
    <row r="15" spans="1:3" ht="15.75">
      <c r="A15" s="1" t="s">
        <v>5</v>
      </c>
      <c r="B15" s="7">
        <f t="shared" si="0"/>
        <v>0</v>
      </c>
      <c r="C15" s="1"/>
    </row>
    <row r="16" spans="1:3" ht="15.75">
      <c r="A16" s="1" t="s">
        <v>6</v>
      </c>
      <c r="B16" s="7">
        <f t="shared" si="0"/>
        <v>2406.25</v>
      </c>
      <c r="C16" s="1">
        <v>28875</v>
      </c>
    </row>
    <row r="17" spans="1:3" ht="15.75">
      <c r="A17" s="1" t="s">
        <v>7</v>
      </c>
      <c r="B17" s="7">
        <f t="shared" si="0"/>
        <v>1523.415</v>
      </c>
      <c r="C17" s="1">
        <v>18280.98</v>
      </c>
    </row>
    <row r="18" spans="1:3" ht="15.75">
      <c r="A18" s="1" t="s">
        <v>8</v>
      </c>
      <c r="B18" s="7">
        <f t="shared" si="0"/>
        <v>44.35</v>
      </c>
      <c r="C18" s="1">
        <v>532.20000000000005</v>
      </c>
    </row>
    <row r="19" spans="1:3" ht="15.75">
      <c r="A19" s="1" t="s">
        <v>9</v>
      </c>
      <c r="B19" s="7">
        <f t="shared" si="0"/>
        <v>0</v>
      </c>
      <c r="C19" s="1"/>
    </row>
    <row r="20" spans="1:3" ht="15.75">
      <c r="A20" s="1" t="s">
        <v>10</v>
      </c>
      <c r="B20" s="7">
        <f t="shared" si="0"/>
        <v>606.42250000000001</v>
      </c>
      <c r="C20" s="1">
        <v>7277.07</v>
      </c>
    </row>
    <row r="21" spans="1:3" ht="15.75">
      <c r="A21" s="1" t="s">
        <v>11</v>
      </c>
      <c r="B21" s="7">
        <f t="shared" si="0"/>
        <v>1528.2633333333333</v>
      </c>
      <c r="C21" s="1">
        <v>18339.16</v>
      </c>
    </row>
    <row r="22" spans="1:3" ht="15.75">
      <c r="A22" s="1" t="s">
        <v>12</v>
      </c>
      <c r="B22" s="7">
        <f t="shared" si="0"/>
        <v>3081.7816666666663</v>
      </c>
      <c r="C22" s="1">
        <v>36981.379999999997</v>
      </c>
    </row>
    <row r="23" spans="1:3" ht="15.75">
      <c r="A23" s="1" t="s">
        <v>13</v>
      </c>
      <c r="B23" s="7">
        <f t="shared" si="0"/>
        <v>610.65666666666664</v>
      </c>
      <c r="C23" s="1">
        <v>7327.88</v>
      </c>
    </row>
    <row r="24" spans="1:3" ht="15.75">
      <c r="A24" s="1" t="s">
        <v>14</v>
      </c>
      <c r="B24" s="7">
        <f t="shared" si="0"/>
        <v>1947.7449999999999</v>
      </c>
      <c r="C24" s="1">
        <v>23372.94</v>
      </c>
    </row>
    <row r="25" spans="1:3" ht="15.75">
      <c r="A25" s="1" t="s">
        <v>29</v>
      </c>
      <c r="B25" s="7">
        <f t="shared" si="0"/>
        <v>208.16166666666666</v>
      </c>
      <c r="C25" s="1">
        <v>2497.94</v>
      </c>
    </row>
    <row r="26" spans="1:3" ht="15.75">
      <c r="A26" s="1" t="s">
        <v>19</v>
      </c>
      <c r="B26" s="7">
        <f t="shared" si="0"/>
        <v>0</v>
      </c>
      <c r="C26" s="1"/>
    </row>
    <row r="27" spans="1:3" ht="15.75">
      <c r="A27" s="1" t="s">
        <v>78</v>
      </c>
      <c r="B27" s="7">
        <f t="shared" si="0"/>
        <v>7069.605833333334</v>
      </c>
      <c r="C27" s="1">
        <v>84835.27</v>
      </c>
    </row>
    <row r="28" spans="1:3" ht="15.75">
      <c r="A28" s="6" t="s">
        <v>79</v>
      </c>
      <c r="B28" s="7">
        <f t="shared" si="0"/>
        <v>43115.854166666664</v>
      </c>
      <c r="C28" s="6">
        <f>SUM(C13:C27)</f>
        <v>517390.25</v>
      </c>
    </row>
    <row r="29" spans="1:3" ht="15.75">
      <c r="A29" s="6" t="s">
        <v>80</v>
      </c>
      <c r="B29" s="7"/>
      <c r="C29" s="6"/>
    </row>
    <row r="30" spans="1:3" ht="15.75">
      <c r="A30" s="6" t="s">
        <v>81</v>
      </c>
      <c r="B30" s="1"/>
      <c r="C30" s="6">
        <v>100885.6</v>
      </c>
    </row>
    <row r="31" spans="1:3" ht="15.75">
      <c r="A31" s="1" t="s">
        <v>33</v>
      </c>
      <c r="B31" s="6">
        <v>134496.07999999999</v>
      </c>
      <c r="C31" s="1"/>
    </row>
    <row r="32" spans="1:3" ht="15.75">
      <c r="A32" s="1" t="s">
        <v>22</v>
      </c>
      <c r="B32" s="1"/>
      <c r="C32" s="1"/>
    </row>
    <row r="33" spans="1:2" ht="15.75">
      <c r="A33" s="1" t="s">
        <v>23</v>
      </c>
    </row>
    <row r="34" spans="1:2" ht="18.75">
      <c r="A34" s="1" t="s">
        <v>137</v>
      </c>
      <c r="B34" s="14">
        <v>17539.02</v>
      </c>
    </row>
    <row r="35" spans="1:2" ht="35.25" customHeight="1"/>
    <row r="36" spans="1:2" ht="15.75">
      <c r="A36" s="10" t="s">
        <v>73</v>
      </c>
    </row>
    <row r="37" spans="1:2" ht="27.75" customHeight="1"/>
    <row r="38" spans="1:2" ht="23.25" customHeight="1">
      <c r="A38" t="s">
        <v>75</v>
      </c>
    </row>
    <row r="39" spans="1:2">
      <c r="A39" t="s">
        <v>74</v>
      </c>
    </row>
    <row r="41" spans="1:2">
      <c r="A41" t="s">
        <v>76</v>
      </c>
    </row>
  </sheetData>
  <pageMargins left="0.7" right="0.7" top="0.75" bottom="0.75" header="0.3" footer="0.3"/>
  <pageSetup paperSize="9" orientation="portrait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C41"/>
  <sheetViews>
    <sheetView topLeftCell="A14" workbookViewId="0">
      <selection activeCell="A34" sqref="A34"/>
    </sheetView>
  </sheetViews>
  <sheetFormatPr defaultRowHeight="15"/>
  <cols>
    <col min="1" max="1" width="53" customWidth="1"/>
    <col min="2" max="2" width="14.42578125" customWidth="1"/>
    <col min="3" max="3" width="15.7109375" customWidth="1"/>
  </cols>
  <sheetData>
    <row r="1" spans="1:3" ht="15.75">
      <c r="A1" s="1" t="s">
        <v>0</v>
      </c>
    </row>
    <row r="2" spans="1:3" ht="15.75">
      <c r="A2" s="1" t="s">
        <v>95</v>
      </c>
      <c r="B2" s="1"/>
      <c r="C2" s="1"/>
    </row>
    <row r="3" spans="1:3" ht="15.75">
      <c r="A3" s="1" t="s">
        <v>92</v>
      </c>
      <c r="B3" s="1"/>
      <c r="C3" s="1"/>
    </row>
    <row r="4" spans="1:3" ht="15.75">
      <c r="A4" s="1" t="s">
        <v>28</v>
      </c>
      <c r="B4" s="1"/>
      <c r="C4" s="1"/>
    </row>
    <row r="5" spans="1:3" ht="15.75">
      <c r="A5" s="1" t="s">
        <v>77</v>
      </c>
      <c r="B5" s="1"/>
      <c r="C5" s="1"/>
    </row>
    <row r="6" spans="1:3" ht="15.75">
      <c r="A6" s="1"/>
      <c r="B6" s="1"/>
      <c r="C6" s="1"/>
    </row>
    <row r="7" spans="1:3" ht="15.75">
      <c r="A7" s="1" t="s">
        <v>1</v>
      </c>
      <c r="B7" s="1" t="s">
        <v>2</v>
      </c>
      <c r="C7" s="1" t="s">
        <v>3</v>
      </c>
    </row>
    <row r="8" spans="1:3" ht="15.75">
      <c r="A8" s="1" t="s">
        <v>24</v>
      </c>
      <c r="B8" s="2"/>
      <c r="C8" s="6">
        <v>25581.16</v>
      </c>
    </row>
    <row r="9" spans="1:3" ht="15.75">
      <c r="A9" s="1" t="s">
        <v>4</v>
      </c>
      <c r="B9" s="7">
        <f>C9/12</f>
        <v>48073.191666666673</v>
      </c>
      <c r="C9" s="1">
        <v>576878.30000000005</v>
      </c>
    </row>
    <row r="10" spans="1:3" ht="15.75">
      <c r="A10" s="1" t="s">
        <v>31</v>
      </c>
      <c r="B10" s="7">
        <f t="shared" ref="B10:B28" si="0">C10/12</f>
        <v>933.33333333333337</v>
      </c>
      <c r="C10" s="1">
        <v>11200</v>
      </c>
    </row>
    <row r="11" spans="1:3" ht="15.75">
      <c r="A11" s="6" t="s">
        <v>17</v>
      </c>
      <c r="B11" s="7">
        <f t="shared" si="0"/>
        <v>49006.525000000001</v>
      </c>
      <c r="C11" s="6">
        <v>588078.30000000005</v>
      </c>
    </row>
    <row r="12" spans="1:3" ht="15.75">
      <c r="A12" s="1" t="s">
        <v>18</v>
      </c>
      <c r="B12" s="7">
        <f t="shared" si="0"/>
        <v>0</v>
      </c>
      <c r="C12" s="1"/>
    </row>
    <row r="13" spans="1:3" ht="15.75">
      <c r="A13" s="1" t="s">
        <v>25</v>
      </c>
      <c r="B13" s="7">
        <f t="shared" si="0"/>
        <v>12181.936666666666</v>
      </c>
      <c r="C13" s="1">
        <v>146183.24</v>
      </c>
    </row>
    <row r="14" spans="1:3" ht="15.75">
      <c r="A14" s="1" t="s">
        <v>32</v>
      </c>
      <c r="B14" s="7">
        <f t="shared" si="0"/>
        <v>8008.335</v>
      </c>
      <c r="C14" s="1">
        <v>96100.02</v>
      </c>
    </row>
    <row r="15" spans="1:3" ht="15.75">
      <c r="A15" s="1" t="s">
        <v>5</v>
      </c>
      <c r="B15" s="7">
        <f t="shared" si="0"/>
        <v>0</v>
      </c>
      <c r="C15" s="1"/>
    </row>
    <row r="16" spans="1:3" ht="15.75">
      <c r="A16" s="1" t="s">
        <v>6</v>
      </c>
      <c r="B16" s="7">
        <f t="shared" si="0"/>
        <v>1034.5833333333333</v>
      </c>
      <c r="C16" s="1">
        <v>12415</v>
      </c>
    </row>
    <row r="17" spans="1:3" ht="15.75">
      <c r="A17" s="1" t="s">
        <v>7</v>
      </c>
      <c r="B17" s="7">
        <f t="shared" si="0"/>
        <v>1757.97</v>
      </c>
      <c r="C17" s="1">
        <v>21095.64</v>
      </c>
    </row>
    <row r="18" spans="1:3" ht="15.75">
      <c r="A18" s="1" t="s">
        <v>8</v>
      </c>
      <c r="B18" s="7">
        <f t="shared" si="0"/>
        <v>127.3</v>
      </c>
      <c r="C18" s="1">
        <v>1527.6</v>
      </c>
    </row>
    <row r="19" spans="1:3" ht="15.75">
      <c r="A19" s="1" t="s">
        <v>9</v>
      </c>
      <c r="B19" s="7">
        <f t="shared" si="0"/>
        <v>0</v>
      </c>
      <c r="C19" s="1"/>
    </row>
    <row r="20" spans="1:3" ht="15.75">
      <c r="A20" s="1" t="s">
        <v>10</v>
      </c>
      <c r="B20" s="7">
        <f t="shared" si="0"/>
        <v>957.01083333333327</v>
      </c>
      <c r="C20" s="1">
        <v>11484.13</v>
      </c>
    </row>
    <row r="21" spans="1:3" ht="15.75">
      <c r="A21" s="1" t="s">
        <v>11</v>
      </c>
      <c r="B21" s="7">
        <f t="shared" si="0"/>
        <v>2390.1150000000002</v>
      </c>
      <c r="C21" s="1">
        <v>28681.38</v>
      </c>
    </row>
    <row r="22" spans="1:3" ht="15.75">
      <c r="A22" s="1" t="s">
        <v>12</v>
      </c>
      <c r="B22" s="7">
        <f t="shared" si="0"/>
        <v>3480.6533333333332</v>
      </c>
      <c r="C22" s="1">
        <v>41767.839999999997</v>
      </c>
    </row>
    <row r="23" spans="1:3" ht="15.75">
      <c r="A23" s="1" t="s">
        <v>13</v>
      </c>
      <c r="B23" s="7">
        <f t="shared" si="0"/>
        <v>713.01749999999993</v>
      </c>
      <c r="C23" s="1">
        <v>8556.2099999999991</v>
      </c>
    </row>
    <row r="24" spans="1:3" ht="15.75">
      <c r="A24" s="1" t="s">
        <v>14</v>
      </c>
      <c r="B24" s="7">
        <f t="shared" si="0"/>
        <v>2549.125833333333</v>
      </c>
      <c r="C24" s="1">
        <v>30589.51</v>
      </c>
    </row>
    <row r="25" spans="1:3" ht="15.75">
      <c r="A25" s="1" t="s">
        <v>29</v>
      </c>
      <c r="B25" s="7">
        <f t="shared" si="0"/>
        <v>334.42916666666667</v>
      </c>
      <c r="C25" s="1">
        <v>4013.15</v>
      </c>
    </row>
    <row r="26" spans="1:3" ht="15.75">
      <c r="A26" s="1" t="s">
        <v>19</v>
      </c>
      <c r="B26" s="7">
        <f t="shared" si="0"/>
        <v>531</v>
      </c>
      <c r="C26" s="1">
        <v>6372</v>
      </c>
    </row>
    <row r="27" spans="1:3" ht="15.75">
      <c r="A27" s="1" t="s">
        <v>78</v>
      </c>
      <c r="B27" s="7">
        <f t="shared" si="0"/>
        <v>13809.074166666667</v>
      </c>
      <c r="C27" s="1">
        <v>165708.89000000001</v>
      </c>
    </row>
    <row r="28" spans="1:3" ht="17.25" customHeight="1">
      <c r="A28" s="6" t="s">
        <v>79</v>
      </c>
      <c r="B28" s="7">
        <f t="shared" si="0"/>
        <v>47874.550833333342</v>
      </c>
      <c r="C28" s="6">
        <f>SUM(C13:C27)</f>
        <v>574494.6100000001</v>
      </c>
    </row>
    <row r="29" spans="1:3" ht="15.75">
      <c r="A29" s="6" t="s">
        <v>80</v>
      </c>
      <c r="B29" s="7"/>
      <c r="C29" s="6">
        <v>39164.85</v>
      </c>
    </row>
    <row r="30" spans="1:3" ht="15.75">
      <c r="A30" s="6" t="s">
        <v>81</v>
      </c>
      <c r="B30" s="1"/>
      <c r="C30" s="1"/>
    </row>
    <row r="31" spans="1:3" ht="15.75">
      <c r="A31" s="1" t="s">
        <v>33</v>
      </c>
      <c r="B31" s="6">
        <v>46288.23</v>
      </c>
      <c r="C31" s="1"/>
    </row>
    <row r="32" spans="1:3" ht="15.75">
      <c r="A32" s="1" t="s">
        <v>22</v>
      </c>
      <c r="B32" s="1"/>
      <c r="C32" s="1"/>
    </row>
    <row r="33" spans="1:2" ht="15.75">
      <c r="A33" s="1" t="s">
        <v>23</v>
      </c>
    </row>
    <row r="34" spans="1:2" ht="18.75">
      <c r="A34" s="1" t="s">
        <v>137</v>
      </c>
      <c r="B34" s="14">
        <v>0</v>
      </c>
    </row>
    <row r="35" spans="1:2" ht="29.25" customHeight="1"/>
    <row r="36" spans="1:2" ht="15.75">
      <c r="A36" s="10" t="s">
        <v>73</v>
      </c>
    </row>
    <row r="38" spans="1:2">
      <c r="A38" t="s">
        <v>75</v>
      </c>
    </row>
    <row r="39" spans="1:2">
      <c r="A39" t="s">
        <v>74</v>
      </c>
    </row>
    <row r="41" spans="1:2">
      <c r="A41" t="s">
        <v>76</v>
      </c>
    </row>
  </sheetData>
  <pageMargins left="0.7" right="0.7" top="0.75" bottom="0.75" header="0.3" footer="0.3"/>
  <pageSetup paperSize="9" orientation="portrait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C41"/>
  <sheetViews>
    <sheetView topLeftCell="A17" workbookViewId="0">
      <selection activeCell="C31" sqref="C31"/>
    </sheetView>
  </sheetViews>
  <sheetFormatPr defaultRowHeight="15"/>
  <cols>
    <col min="1" max="1" width="53.5703125" customWidth="1"/>
    <col min="2" max="2" width="15.7109375" customWidth="1"/>
    <col min="3" max="3" width="14.7109375" customWidth="1"/>
  </cols>
  <sheetData>
    <row r="1" spans="1:3" ht="15.75">
      <c r="A1" s="1" t="s">
        <v>0</v>
      </c>
    </row>
    <row r="2" spans="1:3" ht="15.75">
      <c r="A2" s="1" t="s">
        <v>94</v>
      </c>
      <c r="B2" s="1"/>
      <c r="C2" s="1"/>
    </row>
    <row r="3" spans="1:3" ht="15.75">
      <c r="A3" s="1" t="s">
        <v>92</v>
      </c>
      <c r="B3" s="1"/>
      <c r="C3" s="1"/>
    </row>
    <row r="4" spans="1:3" ht="15.75">
      <c r="A4" s="1" t="s">
        <v>28</v>
      </c>
      <c r="B4" s="1"/>
      <c r="C4" s="1"/>
    </row>
    <row r="5" spans="1:3" ht="15.75">
      <c r="A5" s="1" t="s">
        <v>77</v>
      </c>
      <c r="B5" s="1"/>
      <c r="C5" s="1"/>
    </row>
    <row r="6" spans="1:3" ht="15.75">
      <c r="A6" s="1"/>
      <c r="B6" s="1"/>
      <c r="C6" s="1"/>
    </row>
    <row r="7" spans="1:3" ht="15.75">
      <c r="A7" s="1" t="s">
        <v>1</v>
      </c>
      <c r="B7" s="1" t="s">
        <v>2</v>
      </c>
      <c r="C7" s="1" t="s">
        <v>3</v>
      </c>
    </row>
    <row r="8" spans="1:3" ht="15.75">
      <c r="A8" s="1" t="s">
        <v>138</v>
      </c>
      <c r="B8" s="2"/>
      <c r="C8" s="6">
        <v>-39135.040000000001</v>
      </c>
    </row>
    <row r="9" spans="1:3" ht="15.75">
      <c r="A9" s="1" t="s">
        <v>4</v>
      </c>
      <c r="B9" s="7">
        <f>C9/12</f>
        <v>60969.724999999999</v>
      </c>
      <c r="C9" s="1">
        <v>731636.7</v>
      </c>
    </row>
    <row r="10" spans="1:3" ht="15.75">
      <c r="A10" s="1" t="s">
        <v>31</v>
      </c>
      <c r="B10" s="7">
        <f t="shared" ref="B10:B28" si="0">C10/12</f>
        <v>6403.5074999999997</v>
      </c>
      <c r="C10" s="1">
        <f>12354.78+64487.31</f>
        <v>76842.09</v>
      </c>
    </row>
    <row r="11" spans="1:3" ht="15.75">
      <c r="A11" s="6" t="s">
        <v>17</v>
      </c>
      <c r="B11" s="7">
        <f t="shared" si="0"/>
        <v>67373.232499999998</v>
      </c>
      <c r="C11" s="6">
        <f>SUM(C9:C10)</f>
        <v>808478.78999999992</v>
      </c>
    </row>
    <row r="12" spans="1:3" ht="15.75">
      <c r="A12" s="1" t="s">
        <v>18</v>
      </c>
      <c r="B12" s="7">
        <f t="shared" si="0"/>
        <v>0</v>
      </c>
      <c r="C12" s="1"/>
    </row>
    <row r="13" spans="1:3" ht="15.75">
      <c r="A13" s="1" t="s">
        <v>25</v>
      </c>
      <c r="B13" s="7">
        <f t="shared" si="0"/>
        <v>16890.965833333332</v>
      </c>
      <c r="C13" s="1">
        <v>202691.59</v>
      </c>
    </row>
    <row r="14" spans="1:3" ht="15.75">
      <c r="A14" s="1" t="s">
        <v>32</v>
      </c>
      <c r="B14" s="7">
        <f t="shared" si="0"/>
        <v>13173.570833333333</v>
      </c>
      <c r="C14" s="1">
        <v>158082.85</v>
      </c>
    </row>
    <row r="15" spans="1:3" ht="15.75">
      <c r="A15" s="1" t="s">
        <v>5</v>
      </c>
      <c r="B15" s="7">
        <f t="shared" si="0"/>
        <v>0</v>
      </c>
      <c r="C15" s="1"/>
    </row>
    <row r="16" spans="1:3" ht="15.75">
      <c r="A16" s="1" t="s">
        <v>6</v>
      </c>
      <c r="B16" s="7">
        <f t="shared" si="0"/>
        <v>8857.4166666666661</v>
      </c>
      <c r="C16" s="1">
        <v>106289</v>
      </c>
    </row>
    <row r="17" spans="1:3" ht="15.75">
      <c r="A17" s="1" t="s">
        <v>7</v>
      </c>
      <c r="B17" s="7">
        <f t="shared" si="0"/>
        <v>2435.2950000000001</v>
      </c>
      <c r="C17" s="1">
        <v>29223.54</v>
      </c>
    </row>
    <row r="18" spans="1:3" ht="15.75">
      <c r="A18" s="1" t="s">
        <v>8</v>
      </c>
      <c r="B18" s="7">
        <f t="shared" si="0"/>
        <v>951.85333333333335</v>
      </c>
      <c r="C18" s="1">
        <v>11422.24</v>
      </c>
    </row>
    <row r="19" spans="1:3" ht="15.75">
      <c r="A19" s="1" t="s">
        <v>9</v>
      </c>
      <c r="B19" s="7">
        <f t="shared" si="0"/>
        <v>0</v>
      </c>
      <c r="C19" s="1"/>
    </row>
    <row r="20" spans="1:3" ht="15.75">
      <c r="A20" s="1" t="s">
        <v>10</v>
      </c>
      <c r="B20" s="7">
        <f t="shared" si="0"/>
        <v>871.73250000000007</v>
      </c>
      <c r="C20" s="1">
        <v>10460.790000000001</v>
      </c>
    </row>
    <row r="21" spans="1:3" ht="15.75">
      <c r="A21" s="1" t="s">
        <v>11</v>
      </c>
      <c r="B21" s="7">
        <f t="shared" si="0"/>
        <v>3077.9225000000001</v>
      </c>
      <c r="C21" s="1">
        <v>36935.07</v>
      </c>
    </row>
    <row r="22" spans="1:3" ht="15.75">
      <c r="A22" s="1" t="s">
        <v>12</v>
      </c>
      <c r="B22" s="7">
        <f t="shared" si="0"/>
        <v>4826.1283333333331</v>
      </c>
      <c r="C22" s="1">
        <v>57913.54</v>
      </c>
    </row>
    <row r="23" spans="1:3" ht="15.75">
      <c r="A23" s="1" t="s">
        <v>13</v>
      </c>
      <c r="B23" s="7">
        <f t="shared" si="0"/>
        <v>1318.11</v>
      </c>
      <c r="C23" s="1">
        <v>15817.32</v>
      </c>
    </row>
    <row r="24" spans="1:3" ht="15.75">
      <c r="A24" s="1" t="s">
        <v>14</v>
      </c>
      <c r="B24" s="7">
        <f t="shared" si="0"/>
        <v>3504.4891666666667</v>
      </c>
      <c r="C24" s="1">
        <v>42053.87</v>
      </c>
    </row>
    <row r="25" spans="1:3" ht="15.75">
      <c r="A25" s="1" t="s">
        <v>29</v>
      </c>
      <c r="B25" s="7">
        <f t="shared" si="0"/>
        <v>303.6033333333333</v>
      </c>
      <c r="C25" s="1">
        <v>3643.24</v>
      </c>
    </row>
    <row r="26" spans="1:3" ht="15.75">
      <c r="A26" s="1" t="s">
        <v>19</v>
      </c>
      <c r="B26" s="7">
        <f t="shared" si="0"/>
        <v>0</v>
      </c>
      <c r="C26" s="1"/>
    </row>
    <row r="27" spans="1:3" ht="15.75">
      <c r="A27" s="1" t="s">
        <v>78</v>
      </c>
      <c r="B27" s="7">
        <f t="shared" si="0"/>
        <v>14163.808333333334</v>
      </c>
      <c r="C27" s="1">
        <v>169965.7</v>
      </c>
    </row>
    <row r="28" spans="1:3" ht="15.75">
      <c r="A28" s="6" t="s">
        <v>79</v>
      </c>
      <c r="B28" s="7">
        <f t="shared" si="0"/>
        <v>70374.895833333328</v>
      </c>
      <c r="C28" s="6">
        <f>SUM(C13:C27)</f>
        <v>844498.75</v>
      </c>
    </row>
    <row r="29" spans="1:3" ht="15.75">
      <c r="A29" s="6" t="s">
        <v>80</v>
      </c>
      <c r="B29" s="7"/>
      <c r="C29" s="6"/>
    </row>
    <row r="30" spans="1:3" ht="15.75">
      <c r="A30" s="6" t="s">
        <v>81</v>
      </c>
      <c r="B30" s="1"/>
      <c r="C30" s="6">
        <v>75155</v>
      </c>
    </row>
    <row r="31" spans="1:3" ht="15.75">
      <c r="A31" s="1" t="s">
        <v>33</v>
      </c>
      <c r="B31" s="6">
        <v>91967.41</v>
      </c>
      <c r="C31" s="1"/>
    </row>
    <row r="32" spans="1:3" ht="15.75">
      <c r="A32" s="1" t="s">
        <v>22</v>
      </c>
      <c r="B32" s="1"/>
      <c r="C32" s="1"/>
    </row>
    <row r="33" spans="1:2" ht="15.75">
      <c r="A33" s="1" t="s">
        <v>23</v>
      </c>
    </row>
    <row r="34" spans="1:2" ht="15.75">
      <c r="A34" s="1" t="s">
        <v>82</v>
      </c>
      <c r="B34" s="4">
        <v>21769</v>
      </c>
    </row>
    <row r="36" spans="1:2" ht="15.75">
      <c r="A36" s="10" t="s">
        <v>73</v>
      </c>
    </row>
    <row r="38" spans="1:2">
      <c r="A38" t="s">
        <v>75</v>
      </c>
    </row>
    <row r="39" spans="1:2">
      <c r="A39" t="s">
        <v>74</v>
      </c>
    </row>
    <row r="41" spans="1:2">
      <c r="A41" t="s">
        <v>76</v>
      </c>
    </row>
  </sheetData>
  <pageMargins left="0.7" right="0.7" top="0.75" bottom="0.75" header="0.3" footer="0.3"/>
  <pageSetup paperSize="9" orientation="portrait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C41"/>
  <sheetViews>
    <sheetView topLeftCell="A22" workbookViewId="0">
      <selection activeCell="D27" sqref="D27"/>
    </sheetView>
  </sheetViews>
  <sheetFormatPr defaultRowHeight="15"/>
  <cols>
    <col min="1" max="1" width="52.85546875" customWidth="1"/>
    <col min="2" max="2" width="12.28515625" customWidth="1"/>
    <col min="3" max="3" width="11.5703125" customWidth="1"/>
  </cols>
  <sheetData>
    <row r="1" spans="1:3" ht="15.75">
      <c r="A1" s="1" t="s">
        <v>0</v>
      </c>
    </row>
    <row r="2" spans="1:3" ht="15.75">
      <c r="A2" s="1" t="s">
        <v>39</v>
      </c>
      <c r="B2" s="1"/>
      <c r="C2" s="1"/>
    </row>
    <row r="3" spans="1:3" ht="15.75">
      <c r="A3" s="1" t="s">
        <v>92</v>
      </c>
      <c r="B3" s="1"/>
      <c r="C3" s="1"/>
    </row>
    <row r="4" spans="1:3" ht="15.75">
      <c r="A4" s="1" t="s">
        <v>28</v>
      </c>
      <c r="B4" s="1"/>
      <c r="C4" s="1"/>
    </row>
    <row r="5" spans="1:3" ht="15.75">
      <c r="A5" s="1" t="s">
        <v>77</v>
      </c>
      <c r="B5" s="1"/>
      <c r="C5" s="1"/>
    </row>
    <row r="6" spans="1:3" ht="15.75">
      <c r="A6" s="1"/>
      <c r="B6" s="1"/>
      <c r="C6" s="1"/>
    </row>
    <row r="7" spans="1:3" ht="15.75">
      <c r="A7" s="1" t="s">
        <v>1</v>
      </c>
      <c r="B7" s="1" t="s">
        <v>2</v>
      </c>
      <c r="C7" s="1" t="s">
        <v>3</v>
      </c>
    </row>
    <row r="8" spans="1:3" ht="15.75">
      <c r="A8" s="1" t="s">
        <v>138</v>
      </c>
      <c r="B8" s="2"/>
      <c r="C8" s="6">
        <v>3405.69</v>
      </c>
    </row>
    <row r="9" spans="1:3" ht="15.75">
      <c r="A9" s="1" t="s">
        <v>4</v>
      </c>
      <c r="B9" s="7">
        <f>C9/12</f>
        <v>53147.466666666667</v>
      </c>
      <c r="C9" s="1">
        <v>637769.6</v>
      </c>
    </row>
    <row r="10" spans="1:3" ht="15.75">
      <c r="A10" s="1" t="s">
        <v>31</v>
      </c>
      <c r="B10" s="7">
        <f t="shared" ref="B10:B28" si="0">C10/12</f>
        <v>1500.8333333333333</v>
      </c>
      <c r="C10" s="1">
        <v>18010</v>
      </c>
    </row>
    <row r="11" spans="1:3" ht="15.75">
      <c r="A11" s="6" t="s">
        <v>17</v>
      </c>
      <c r="B11" s="7">
        <f t="shared" si="0"/>
        <v>54648.299999999996</v>
      </c>
      <c r="C11" s="6">
        <f>SUM(C9:C10)</f>
        <v>655779.6</v>
      </c>
    </row>
    <row r="12" spans="1:3" ht="15.75">
      <c r="A12" s="1" t="s">
        <v>18</v>
      </c>
      <c r="B12" s="7">
        <f t="shared" si="0"/>
        <v>0</v>
      </c>
      <c r="C12" s="1"/>
    </row>
    <row r="13" spans="1:3" ht="15.75">
      <c r="A13" s="1" t="s">
        <v>25</v>
      </c>
      <c r="B13" s="7">
        <f t="shared" si="0"/>
        <v>13243.218333333332</v>
      </c>
      <c r="C13" s="1">
        <v>158918.62</v>
      </c>
    </row>
    <row r="14" spans="1:3" ht="15.75">
      <c r="A14" s="1" t="s">
        <v>32</v>
      </c>
      <c r="B14" s="7">
        <f t="shared" si="0"/>
        <v>7890.4066666666668</v>
      </c>
      <c r="C14" s="1">
        <v>94684.88</v>
      </c>
    </row>
    <row r="15" spans="1:3" ht="15.75">
      <c r="A15" s="1" t="s">
        <v>5</v>
      </c>
      <c r="B15" s="7">
        <f t="shared" si="0"/>
        <v>0</v>
      </c>
      <c r="C15" s="1"/>
    </row>
    <row r="16" spans="1:3" ht="15.75">
      <c r="A16" s="1" t="s">
        <v>6</v>
      </c>
      <c r="B16" s="7">
        <f t="shared" si="0"/>
        <v>1860</v>
      </c>
      <c r="C16" s="1">
        <v>22320</v>
      </c>
    </row>
    <row r="17" spans="1:3" ht="15.75">
      <c r="A17" s="1" t="s">
        <v>7</v>
      </c>
      <c r="B17" s="7">
        <f t="shared" si="0"/>
        <v>1926.4849999999999</v>
      </c>
      <c r="C17" s="1">
        <v>23117.82</v>
      </c>
    </row>
    <row r="18" spans="1:3" ht="15.75">
      <c r="A18" s="1" t="s">
        <v>8</v>
      </c>
      <c r="B18" s="7">
        <f t="shared" si="0"/>
        <v>180.37</v>
      </c>
      <c r="C18" s="1">
        <v>2164.44</v>
      </c>
    </row>
    <row r="19" spans="1:3" ht="15.75">
      <c r="A19" s="1" t="s">
        <v>9</v>
      </c>
      <c r="B19" s="7">
        <f t="shared" si="0"/>
        <v>0</v>
      </c>
      <c r="C19" s="1"/>
    </row>
    <row r="20" spans="1:3" ht="15.75">
      <c r="A20" s="1" t="s">
        <v>10</v>
      </c>
      <c r="B20" s="7">
        <f t="shared" si="0"/>
        <v>957.01083333333327</v>
      </c>
      <c r="C20" s="1">
        <v>11484.13</v>
      </c>
    </row>
    <row r="21" spans="1:3" ht="15.75">
      <c r="A21" s="1" t="s">
        <v>11</v>
      </c>
      <c r="B21" s="7">
        <f t="shared" si="0"/>
        <v>2644.1633333333334</v>
      </c>
      <c r="C21" s="1">
        <v>31729.96</v>
      </c>
    </row>
    <row r="22" spans="1:3" ht="15.75">
      <c r="A22" s="1" t="s">
        <v>12</v>
      </c>
      <c r="B22" s="7">
        <f t="shared" si="0"/>
        <v>3783.8850000000002</v>
      </c>
      <c r="C22" s="1">
        <v>45406.62</v>
      </c>
    </row>
    <row r="23" spans="1:3" ht="15.75">
      <c r="A23" s="1" t="s">
        <v>13</v>
      </c>
      <c r="B23" s="7">
        <f t="shared" si="0"/>
        <v>102.66083333333334</v>
      </c>
      <c r="C23" s="1">
        <v>1231.93</v>
      </c>
    </row>
    <row r="24" spans="1:3" ht="15.75">
      <c r="A24" s="1" t="s">
        <v>14</v>
      </c>
      <c r="B24" s="7">
        <f t="shared" si="0"/>
        <v>2842.5891666666666</v>
      </c>
      <c r="C24" s="1">
        <v>34111.07</v>
      </c>
    </row>
    <row r="25" spans="1:3" ht="15.75">
      <c r="A25" s="1" t="s">
        <v>29</v>
      </c>
      <c r="B25" s="7">
        <f t="shared" si="0"/>
        <v>304.06916666666666</v>
      </c>
      <c r="C25" s="1">
        <v>3648.83</v>
      </c>
    </row>
    <row r="26" spans="1:3" ht="15.75">
      <c r="A26" s="1" t="s">
        <v>19</v>
      </c>
      <c r="B26" s="7">
        <f t="shared" si="0"/>
        <v>0</v>
      </c>
      <c r="C26" s="1"/>
    </row>
    <row r="27" spans="1:3" ht="15.75">
      <c r="A27" s="1" t="s">
        <v>78</v>
      </c>
      <c r="B27" s="7">
        <f t="shared" si="0"/>
        <v>14885.816666666666</v>
      </c>
      <c r="C27" s="1">
        <v>178629.8</v>
      </c>
    </row>
    <row r="28" spans="1:3" ht="15.75">
      <c r="A28" s="6" t="s">
        <v>79</v>
      </c>
      <c r="B28" s="7">
        <f t="shared" si="0"/>
        <v>50620.67500000001</v>
      </c>
      <c r="C28" s="6">
        <f>SUM(C13:C27)</f>
        <v>607448.10000000009</v>
      </c>
    </row>
    <row r="29" spans="1:3" ht="15.75">
      <c r="A29" s="6" t="s">
        <v>80</v>
      </c>
      <c r="B29" s="7"/>
      <c r="C29" s="6">
        <v>51737.19</v>
      </c>
    </row>
    <row r="30" spans="1:3" ht="15.75">
      <c r="A30" s="6" t="s">
        <v>81</v>
      </c>
      <c r="B30" s="1"/>
      <c r="C30" s="1"/>
    </row>
    <row r="31" spans="1:3" ht="15.75">
      <c r="A31" s="1" t="s">
        <v>33</v>
      </c>
      <c r="B31" s="6">
        <v>22721.86</v>
      </c>
      <c r="C31" s="1"/>
    </row>
    <row r="32" spans="1:3" ht="15.75">
      <c r="A32" s="1" t="s">
        <v>22</v>
      </c>
      <c r="B32" s="1"/>
      <c r="C32" s="1"/>
    </row>
    <row r="33" spans="1:2" ht="15.75">
      <c r="A33" s="1" t="s">
        <v>23</v>
      </c>
    </row>
    <row r="34" spans="1:2" ht="15.75">
      <c r="A34" s="1" t="s">
        <v>82</v>
      </c>
      <c r="B34" s="4">
        <v>61354.31</v>
      </c>
    </row>
    <row r="35" spans="1:2" ht="36" customHeight="1"/>
    <row r="36" spans="1:2" ht="15.75">
      <c r="A36" s="10" t="s">
        <v>73</v>
      </c>
    </row>
    <row r="37" spans="1:2" ht="24.75" customHeight="1"/>
    <row r="38" spans="1:2">
      <c r="A38" t="s">
        <v>75</v>
      </c>
    </row>
    <row r="39" spans="1:2">
      <c r="A39" t="s">
        <v>74</v>
      </c>
    </row>
    <row r="41" spans="1:2">
      <c r="A41" t="s">
        <v>76</v>
      </c>
    </row>
  </sheetData>
  <pageMargins left="0.7" right="0.7" top="0.75" bottom="0.75" header="0.3" footer="0.3"/>
  <pageSetup paperSize="9" orientation="portrait" verticalDpi="0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C41"/>
  <sheetViews>
    <sheetView tabSelected="1" topLeftCell="A19" workbookViewId="0">
      <selection activeCell="E31" sqref="E31"/>
    </sheetView>
  </sheetViews>
  <sheetFormatPr defaultRowHeight="15"/>
  <cols>
    <col min="1" max="1" width="54.5703125" customWidth="1"/>
    <col min="2" max="3" width="12.7109375" customWidth="1"/>
  </cols>
  <sheetData>
    <row r="1" spans="1:3" ht="15.75">
      <c r="A1" s="1" t="s">
        <v>0</v>
      </c>
    </row>
    <row r="2" spans="1:3" ht="15.75">
      <c r="A2" s="1" t="s">
        <v>40</v>
      </c>
      <c r="B2" s="1"/>
      <c r="C2" s="1"/>
    </row>
    <row r="3" spans="1:3" ht="15.75">
      <c r="A3" s="1" t="s">
        <v>92</v>
      </c>
      <c r="B3" s="1"/>
      <c r="C3" s="1"/>
    </row>
    <row r="4" spans="1:3" ht="15.75">
      <c r="A4" s="1" t="s">
        <v>28</v>
      </c>
      <c r="B4" s="1"/>
      <c r="C4" s="1"/>
    </row>
    <row r="5" spans="1:3" ht="15.75">
      <c r="A5" s="1" t="s">
        <v>77</v>
      </c>
      <c r="B5" s="1"/>
      <c r="C5" s="1"/>
    </row>
    <row r="6" spans="1:3" ht="15.75">
      <c r="A6" s="1"/>
      <c r="B6" s="1"/>
      <c r="C6" s="1"/>
    </row>
    <row r="7" spans="1:3" ht="15.75">
      <c r="A7" s="1" t="s">
        <v>1</v>
      </c>
      <c r="B7" s="1" t="s">
        <v>2</v>
      </c>
      <c r="C7" s="1" t="s">
        <v>3</v>
      </c>
    </row>
    <row r="8" spans="1:3" ht="15.75">
      <c r="A8" s="6" t="s">
        <v>138</v>
      </c>
      <c r="B8" s="2"/>
      <c r="C8" s="6">
        <v>4657.8100000000004</v>
      </c>
    </row>
    <row r="9" spans="1:3" ht="15.75">
      <c r="A9" s="1" t="s">
        <v>4</v>
      </c>
      <c r="B9" s="7">
        <f>C9/12</f>
        <v>52845.683333333327</v>
      </c>
      <c r="C9" s="1">
        <v>634148.19999999995</v>
      </c>
    </row>
    <row r="10" spans="1:3" ht="15.75">
      <c r="A10" s="1" t="s">
        <v>31</v>
      </c>
      <c r="B10" s="7">
        <f t="shared" ref="B10:B28" si="0">C10/12</f>
        <v>1500.8333333333333</v>
      </c>
      <c r="C10" s="1">
        <v>18010</v>
      </c>
    </row>
    <row r="11" spans="1:3" ht="15.75">
      <c r="A11" s="6" t="s">
        <v>17</v>
      </c>
      <c r="B11" s="7">
        <f t="shared" si="0"/>
        <v>54346.516666666663</v>
      </c>
      <c r="C11" s="6">
        <f>SUM(C9:C10)</f>
        <v>652158.19999999995</v>
      </c>
    </row>
    <row r="12" spans="1:3" ht="15.75">
      <c r="A12" s="1" t="s">
        <v>18</v>
      </c>
      <c r="B12" s="7">
        <f t="shared" si="0"/>
        <v>0</v>
      </c>
      <c r="C12" s="1"/>
    </row>
    <row r="13" spans="1:3" ht="15.75">
      <c r="A13" s="1" t="s">
        <v>25</v>
      </c>
      <c r="B13" s="7">
        <f t="shared" si="0"/>
        <v>13234.915833333333</v>
      </c>
      <c r="C13" s="1">
        <v>158818.99</v>
      </c>
    </row>
    <row r="14" spans="1:3" ht="15.75">
      <c r="A14" s="1" t="s">
        <v>32</v>
      </c>
      <c r="B14" s="7">
        <f t="shared" si="0"/>
        <v>7839.2949999999992</v>
      </c>
      <c r="C14" s="1">
        <v>94071.54</v>
      </c>
    </row>
    <row r="15" spans="1:3" ht="15.75">
      <c r="A15" s="1" t="s">
        <v>5</v>
      </c>
      <c r="B15" s="7">
        <f t="shared" si="0"/>
        <v>0</v>
      </c>
      <c r="C15" s="1"/>
    </row>
    <row r="16" spans="1:3" ht="15.75">
      <c r="A16" s="1" t="s">
        <v>6</v>
      </c>
      <c r="B16" s="7">
        <f t="shared" si="0"/>
        <v>801.25</v>
      </c>
      <c r="C16" s="1">
        <v>9615</v>
      </c>
    </row>
    <row r="17" spans="1:3" ht="15.75">
      <c r="A17" s="1" t="s">
        <v>7</v>
      </c>
      <c r="B17" s="7">
        <f t="shared" si="0"/>
        <v>1915.9449999999999</v>
      </c>
      <c r="C17" s="1">
        <v>22991.34</v>
      </c>
    </row>
    <row r="18" spans="1:3" ht="15.75">
      <c r="A18" s="1" t="s">
        <v>8</v>
      </c>
      <c r="B18" s="7">
        <f t="shared" si="0"/>
        <v>181.01</v>
      </c>
      <c r="C18" s="1">
        <v>2172.12</v>
      </c>
    </row>
    <row r="19" spans="1:3" ht="15.75">
      <c r="A19" s="1" t="s">
        <v>9</v>
      </c>
      <c r="B19" s="7">
        <f t="shared" si="0"/>
        <v>0</v>
      </c>
      <c r="C19" s="1"/>
    </row>
    <row r="20" spans="1:3" ht="15.75">
      <c r="A20" s="1" t="s">
        <v>10</v>
      </c>
      <c r="B20" s="7">
        <f t="shared" si="0"/>
        <v>947.53583333333336</v>
      </c>
      <c r="C20" s="1">
        <v>11370.43</v>
      </c>
    </row>
    <row r="21" spans="1:3" ht="15.75">
      <c r="A21" s="1" t="s">
        <v>11</v>
      </c>
      <c r="B21" s="7">
        <f t="shared" si="0"/>
        <v>2626.3250000000003</v>
      </c>
      <c r="C21" s="1">
        <v>31515.9</v>
      </c>
    </row>
    <row r="22" spans="1:3" ht="15.75">
      <c r="A22" s="1" t="s">
        <v>12</v>
      </c>
      <c r="B22" s="7">
        <f t="shared" si="0"/>
        <v>3781.5116666666668</v>
      </c>
      <c r="C22" s="1">
        <v>45378.14</v>
      </c>
    </row>
    <row r="23" spans="1:3" ht="15.75">
      <c r="A23" s="1" t="s">
        <v>13</v>
      </c>
      <c r="B23" s="7">
        <f t="shared" si="0"/>
        <v>69.626666666666665</v>
      </c>
      <c r="C23" s="1">
        <v>835.52</v>
      </c>
    </row>
    <row r="24" spans="1:3" ht="15.75">
      <c r="A24" s="1" t="s">
        <v>14</v>
      </c>
      <c r="B24" s="7">
        <f t="shared" si="0"/>
        <v>2826.8908333333334</v>
      </c>
      <c r="C24" s="1">
        <v>33922.69</v>
      </c>
    </row>
    <row r="25" spans="1:3" ht="15.75">
      <c r="A25" s="1" t="s">
        <v>29</v>
      </c>
      <c r="B25" s="7">
        <f t="shared" si="0"/>
        <v>303.85750000000002</v>
      </c>
      <c r="C25" s="1">
        <v>3646.29</v>
      </c>
    </row>
    <row r="26" spans="1:3" ht="15.75">
      <c r="A26" s="1" t="s">
        <v>19</v>
      </c>
      <c r="B26" s="7">
        <f t="shared" si="0"/>
        <v>0</v>
      </c>
      <c r="C26" s="1"/>
    </row>
    <row r="27" spans="1:3" ht="15.75">
      <c r="A27" s="1" t="s">
        <v>78</v>
      </c>
      <c r="B27" s="7">
        <f t="shared" si="0"/>
        <v>13153.288333333332</v>
      </c>
      <c r="C27" s="1">
        <v>157839.46</v>
      </c>
    </row>
    <row r="28" spans="1:3" ht="15.75">
      <c r="A28" s="6" t="s">
        <v>79</v>
      </c>
      <c r="B28" s="7">
        <f t="shared" si="0"/>
        <v>47681.451666666668</v>
      </c>
      <c r="C28" s="6">
        <f>SUM(C13:C27)</f>
        <v>572177.42000000004</v>
      </c>
    </row>
    <row r="29" spans="1:3" ht="15.75">
      <c r="A29" s="6" t="s">
        <v>80</v>
      </c>
      <c r="B29" s="7"/>
      <c r="C29" s="6">
        <v>84638.59</v>
      </c>
    </row>
    <row r="30" spans="1:3" ht="15.75">
      <c r="A30" s="6" t="s">
        <v>81</v>
      </c>
      <c r="B30" s="1"/>
      <c r="C30" s="1"/>
    </row>
    <row r="31" spans="1:3" ht="15.75">
      <c r="A31" s="6" t="s">
        <v>33</v>
      </c>
      <c r="B31" s="6">
        <v>115350.05</v>
      </c>
      <c r="C31" s="1"/>
    </row>
    <row r="32" spans="1:3" ht="15.75">
      <c r="A32" s="1" t="s">
        <v>22</v>
      </c>
      <c r="B32" s="1"/>
      <c r="C32" s="1"/>
    </row>
    <row r="33" spans="1:2" ht="15.75">
      <c r="A33" s="1" t="s">
        <v>23</v>
      </c>
    </row>
    <row r="34" spans="1:2" ht="15.75">
      <c r="A34" s="1" t="s">
        <v>153</v>
      </c>
      <c r="B34" s="4">
        <v>29058</v>
      </c>
    </row>
    <row r="35" spans="1:2" ht="27" customHeight="1"/>
    <row r="36" spans="1:2" ht="15.75">
      <c r="A36" s="10" t="s">
        <v>73</v>
      </c>
    </row>
    <row r="37" spans="1:2" ht="23.25" customHeight="1"/>
    <row r="38" spans="1:2">
      <c r="A38" t="s">
        <v>75</v>
      </c>
    </row>
    <row r="39" spans="1:2">
      <c r="A39" t="s">
        <v>74</v>
      </c>
    </row>
    <row r="41" spans="1:2">
      <c r="A41" t="s">
        <v>76</v>
      </c>
    </row>
  </sheetData>
  <pageMargins left="0.7" right="0.7" top="0.75" bottom="0.75" header="0.3" footer="0.3"/>
  <pageSetup paperSize="9" orientation="portrait" verticalDpi="0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C41"/>
  <sheetViews>
    <sheetView topLeftCell="A10" workbookViewId="0">
      <selection activeCell="C30" sqref="C30"/>
    </sheetView>
  </sheetViews>
  <sheetFormatPr defaultRowHeight="15"/>
  <cols>
    <col min="1" max="1" width="53.28515625" customWidth="1"/>
    <col min="2" max="2" width="14.28515625" customWidth="1"/>
    <col min="3" max="3" width="15.42578125" customWidth="1"/>
  </cols>
  <sheetData>
    <row r="1" spans="1:3" ht="15.75">
      <c r="A1" s="1" t="s">
        <v>0</v>
      </c>
    </row>
    <row r="2" spans="1:3" ht="15.75">
      <c r="A2" s="1" t="s">
        <v>93</v>
      </c>
      <c r="B2" s="1"/>
      <c r="C2" s="1"/>
    </row>
    <row r="3" spans="1:3" ht="15.75">
      <c r="A3" s="1" t="s">
        <v>92</v>
      </c>
      <c r="B3" s="1"/>
      <c r="C3" s="1"/>
    </row>
    <row r="4" spans="1:3" ht="15.75">
      <c r="A4" s="1" t="s">
        <v>28</v>
      </c>
      <c r="B4" s="1"/>
      <c r="C4" s="1"/>
    </row>
    <row r="5" spans="1:3" ht="15.75">
      <c r="A5" s="1" t="s">
        <v>77</v>
      </c>
      <c r="B5" s="1"/>
      <c r="C5" s="1"/>
    </row>
    <row r="6" spans="1:3" ht="15.75">
      <c r="A6" s="1"/>
      <c r="B6" s="1"/>
      <c r="C6" s="1"/>
    </row>
    <row r="7" spans="1:3" ht="15.75">
      <c r="A7" s="1" t="s">
        <v>1</v>
      </c>
      <c r="B7" s="1" t="s">
        <v>2</v>
      </c>
      <c r="C7" s="1" t="s">
        <v>3</v>
      </c>
    </row>
    <row r="8" spans="1:3" ht="15.75">
      <c r="A8" s="1" t="s">
        <v>138</v>
      </c>
      <c r="B8" s="2"/>
      <c r="C8" s="6">
        <v>2458.4</v>
      </c>
    </row>
    <row r="9" spans="1:3" ht="15.75">
      <c r="A9" s="1" t="s">
        <v>4</v>
      </c>
      <c r="B9" s="7">
        <f>C9/12</f>
        <v>52774.202500000007</v>
      </c>
      <c r="C9" s="1">
        <v>633290.43000000005</v>
      </c>
    </row>
    <row r="10" spans="1:3" ht="15.75">
      <c r="A10" s="1" t="s">
        <v>31</v>
      </c>
      <c r="B10" s="7">
        <f t="shared" ref="B10:B28" si="0">C10/12</f>
        <v>1500.8333333333333</v>
      </c>
      <c r="C10" s="1">
        <v>18010</v>
      </c>
    </row>
    <row r="11" spans="1:3" ht="15.75">
      <c r="A11" s="6" t="s">
        <v>17</v>
      </c>
      <c r="B11" s="7">
        <f t="shared" si="0"/>
        <v>54275.035833333335</v>
      </c>
      <c r="C11" s="6">
        <v>651300.43000000005</v>
      </c>
    </row>
    <row r="12" spans="1:3" ht="15.75">
      <c r="A12" s="1" t="s">
        <v>18</v>
      </c>
      <c r="B12" s="7">
        <f t="shared" si="0"/>
        <v>0</v>
      </c>
      <c r="C12" s="1"/>
    </row>
    <row r="13" spans="1:3" ht="15.75">
      <c r="A13" s="1" t="s">
        <v>25</v>
      </c>
      <c r="B13" s="7">
        <f t="shared" si="0"/>
        <v>13319.331666666667</v>
      </c>
      <c r="C13" s="1">
        <v>159831.98000000001</v>
      </c>
    </row>
    <row r="14" spans="1:3" ht="15.75">
      <c r="A14" s="1" t="s">
        <v>32</v>
      </c>
      <c r="B14" s="7">
        <f t="shared" si="0"/>
        <v>9719.7416666666668</v>
      </c>
      <c r="C14" s="1">
        <v>116636.9</v>
      </c>
    </row>
    <row r="15" spans="1:3" ht="15.75">
      <c r="A15" s="1" t="s">
        <v>5</v>
      </c>
      <c r="B15" s="7">
        <f t="shared" si="0"/>
        <v>0</v>
      </c>
      <c r="C15" s="1"/>
    </row>
    <row r="16" spans="1:3" ht="15.75">
      <c r="A16" s="1" t="s">
        <v>6</v>
      </c>
      <c r="B16" s="7">
        <f t="shared" si="0"/>
        <v>1166.5833333333333</v>
      </c>
      <c r="C16" s="1">
        <v>13999</v>
      </c>
    </row>
    <row r="17" spans="1:3" ht="15.75">
      <c r="A17" s="1" t="s">
        <v>7</v>
      </c>
      <c r="B17" s="7">
        <f t="shared" si="0"/>
        <v>1913.5649999999998</v>
      </c>
      <c r="C17" s="1">
        <v>22962.78</v>
      </c>
    </row>
    <row r="18" spans="1:3" ht="15.75">
      <c r="A18" s="1" t="s">
        <v>8</v>
      </c>
      <c r="B18" s="7">
        <f t="shared" si="0"/>
        <v>235.79</v>
      </c>
      <c r="C18" s="1">
        <v>2829.48</v>
      </c>
    </row>
    <row r="19" spans="1:3" ht="15.75">
      <c r="A19" s="1" t="s">
        <v>9</v>
      </c>
      <c r="B19" s="7">
        <f t="shared" si="0"/>
        <v>0</v>
      </c>
      <c r="C19" s="1"/>
    </row>
    <row r="20" spans="1:3" ht="15.75">
      <c r="A20" s="1" t="s">
        <v>10</v>
      </c>
      <c r="B20" s="7">
        <f t="shared" si="0"/>
        <v>947.53583333333336</v>
      </c>
      <c r="C20" s="1">
        <v>11370.43</v>
      </c>
    </row>
    <row r="21" spans="1:3" ht="15.75">
      <c r="A21" s="1" t="s">
        <v>11</v>
      </c>
      <c r="B21" s="7">
        <f t="shared" si="0"/>
        <v>2623.1433333333334</v>
      </c>
      <c r="C21" s="1">
        <v>31477.72</v>
      </c>
    </row>
    <row r="22" spans="1:3" ht="15.75">
      <c r="A22" s="1" t="s">
        <v>12</v>
      </c>
      <c r="B22" s="7">
        <f t="shared" si="0"/>
        <v>3805.6316666666667</v>
      </c>
      <c r="C22" s="1">
        <v>45667.58</v>
      </c>
    </row>
    <row r="23" spans="1:3" ht="15.75">
      <c r="A23" s="1" t="s">
        <v>13</v>
      </c>
      <c r="B23" s="7">
        <f t="shared" si="0"/>
        <v>1031.1458333333333</v>
      </c>
      <c r="C23" s="1">
        <v>12373.75</v>
      </c>
    </row>
    <row r="24" spans="1:3" ht="15.75">
      <c r="A24" s="1" t="s">
        <v>14</v>
      </c>
      <c r="B24" s="7">
        <f t="shared" si="0"/>
        <v>2823.1733333333336</v>
      </c>
      <c r="C24" s="1">
        <v>33878.080000000002</v>
      </c>
    </row>
    <row r="25" spans="1:3" ht="15.75">
      <c r="A25" s="1" t="s">
        <v>29</v>
      </c>
      <c r="B25" s="7">
        <f t="shared" si="0"/>
        <v>334.42916666666667</v>
      </c>
      <c r="C25" s="1">
        <v>4013.15</v>
      </c>
    </row>
    <row r="26" spans="1:3" ht="15.75">
      <c r="A26" s="1" t="s">
        <v>19</v>
      </c>
      <c r="B26" s="7">
        <f t="shared" si="0"/>
        <v>0</v>
      </c>
      <c r="C26" s="1"/>
    </row>
    <row r="27" spans="1:3" ht="15.75">
      <c r="A27" s="1" t="s">
        <v>78</v>
      </c>
      <c r="B27" s="7">
        <f t="shared" si="0"/>
        <v>13137.984166666667</v>
      </c>
      <c r="C27" s="1">
        <v>157655.81</v>
      </c>
    </row>
    <row r="28" spans="1:3" ht="15.75">
      <c r="A28" s="6" t="s">
        <v>79</v>
      </c>
      <c r="B28" s="7">
        <f t="shared" si="0"/>
        <v>51058.055000000015</v>
      </c>
      <c r="C28" s="6">
        <f>SUM(C13:C27)</f>
        <v>612696.66000000015</v>
      </c>
    </row>
    <row r="29" spans="1:3" ht="15.75">
      <c r="A29" s="6" t="s">
        <v>80</v>
      </c>
      <c r="B29" s="7"/>
      <c r="C29" s="6">
        <v>41062.17</v>
      </c>
    </row>
    <row r="30" spans="1:3" ht="15.75">
      <c r="A30" s="6" t="s">
        <v>81</v>
      </c>
      <c r="B30" s="1"/>
      <c r="C30" s="1"/>
    </row>
    <row r="31" spans="1:3" ht="15.75">
      <c r="A31" s="1" t="s">
        <v>33</v>
      </c>
      <c r="B31" s="6">
        <v>24951.33</v>
      </c>
      <c r="C31" s="1"/>
    </row>
    <row r="32" spans="1:3" ht="15.75">
      <c r="A32" s="1" t="s">
        <v>22</v>
      </c>
      <c r="B32" s="1"/>
      <c r="C32" s="1"/>
    </row>
    <row r="33" spans="1:2" ht="15.75">
      <c r="A33" s="1" t="s">
        <v>23</v>
      </c>
    </row>
    <row r="34" spans="1:2" ht="15.75">
      <c r="A34" s="1" t="s">
        <v>82</v>
      </c>
      <c r="B34">
        <v>0</v>
      </c>
    </row>
    <row r="35" spans="1:2" ht="26.25" customHeight="1"/>
    <row r="36" spans="1:2" ht="15.75">
      <c r="A36" s="10" t="s">
        <v>73</v>
      </c>
    </row>
    <row r="37" spans="1:2" ht="33" customHeight="1"/>
    <row r="38" spans="1:2">
      <c r="A38" t="s">
        <v>75</v>
      </c>
    </row>
    <row r="39" spans="1:2">
      <c r="A39" t="s">
        <v>74</v>
      </c>
    </row>
    <row r="41" spans="1:2">
      <c r="A41" t="s">
        <v>76</v>
      </c>
    </row>
  </sheetData>
  <pageMargins left="0.7" right="0.7" top="0.75" bottom="0.75" header="0.3" footer="0.3"/>
  <pageSetup paperSize="9" orientation="portrait" verticalDpi="0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C86"/>
  <sheetViews>
    <sheetView topLeftCell="A68" workbookViewId="0">
      <selection activeCell="E83" sqref="E83"/>
    </sheetView>
  </sheetViews>
  <sheetFormatPr defaultRowHeight="15"/>
  <cols>
    <col min="1" max="1" width="53" customWidth="1"/>
    <col min="2" max="2" width="13.85546875" customWidth="1"/>
    <col min="3" max="3" width="15.140625" customWidth="1"/>
    <col min="4" max="4" width="5" customWidth="1"/>
  </cols>
  <sheetData>
    <row r="1" spans="1:3" ht="15.75">
      <c r="A1" s="1" t="s">
        <v>0</v>
      </c>
    </row>
    <row r="2" spans="1:3" ht="15.75">
      <c r="A2" s="1" t="s">
        <v>41</v>
      </c>
      <c r="B2" s="1"/>
      <c r="C2" s="1"/>
    </row>
    <row r="3" spans="1:3" ht="15.75">
      <c r="A3" s="1" t="s">
        <v>91</v>
      </c>
      <c r="B3" s="1"/>
      <c r="C3" s="1"/>
    </row>
    <row r="4" spans="1:3" ht="15.75">
      <c r="A4" s="1" t="s">
        <v>28</v>
      </c>
      <c r="B4" s="1"/>
      <c r="C4" s="1"/>
    </row>
    <row r="5" spans="1:3" ht="15.75">
      <c r="A5" s="1" t="s">
        <v>77</v>
      </c>
      <c r="B5" s="1"/>
      <c r="C5" s="1"/>
    </row>
    <row r="6" spans="1:3" ht="15.75">
      <c r="A6" s="1"/>
      <c r="B6" s="1"/>
      <c r="C6" s="1"/>
    </row>
    <row r="7" spans="1:3" ht="15.75">
      <c r="A7" s="1" t="s">
        <v>1</v>
      </c>
      <c r="B7" s="1" t="s">
        <v>2</v>
      </c>
      <c r="C7" s="1" t="s">
        <v>3</v>
      </c>
    </row>
    <row r="8" spans="1:3" ht="15.75">
      <c r="A8" s="1" t="s">
        <v>24</v>
      </c>
      <c r="B8" s="2"/>
      <c r="C8" s="6">
        <v>127526.52</v>
      </c>
    </row>
    <row r="9" spans="1:3" ht="15.75">
      <c r="A9" s="1" t="s">
        <v>4</v>
      </c>
      <c r="B9" s="7">
        <f>C9/12</f>
        <v>50724.198333333334</v>
      </c>
      <c r="C9" s="1">
        <v>608690.38</v>
      </c>
    </row>
    <row r="10" spans="1:3" ht="15.75">
      <c r="A10" s="1" t="s">
        <v>31</v>
      </c>
      <c r="B10" s="7">
        <f t="shared" ref="B10:B28" si="0">C10/12</f>
        <v>1168.3333333333333</v>
      </c>
      <c r="C10" s="1">
        <v>14020</v>
      </c>
    </row>
    <row r="11" spans="1:3" ht="15.75">
      <c r="A11" s="6" t="s">
        <v>17</v>
      </c>
      <c r="B11" s="7">
        <f t="shared" si="0"/>
        <v>51892.531666666669</v>
      </c>
      <c r="C11" s="6">
        <v>622710.38</v>
      </c>
    </row>
    <row r="12" spans="1:3" ht="15.75">
      <c r="A12" s="1" t="s">
        <v>18</v>
      </c>
      <c r="B12" s="7">
        <f t="shared" si="0"/>
        <v>0</v>
      </c>
      <c r="C12" s="1"/>
    </row>
    <row r="13" spans="1:3" ht="15.75">
      <c r="A13" s="1" t="s">
        <v>25</v>
      </c>
      <c r="B13" s="7">
        <f t="shared" si="0"/>
        <v>13283.42</v>
      </c>
      <c r="C13" s="1">
        <v>159401.04</v>
      </c>
    </row>
    <row r="14" spans="1:3" ht="15.75">
      <c r="A14" s="1" t="s">
        <v>32</v>
      </c>
      <c r="B14" s="7">
        <f t="shared" si="0"/>
        <v>7379.1225000000004</v>
      </c>
      <c r="C14" s="1">
        <v>88549.47</v>
      </c>
    </row>
    <row r="15" spans="1:3" ht="15.75">
      <c r="A15" s="1" t="s">
        <v>5</v>
      </c>
      <c r="B15" s="7">
        <f t="shared" si="0"/>
        <v>0</v>
      </c>
      <c r="C15" s="1"/>
    </row>
    <row r="16" spans="1:3" ht="15.75">
      <c r="A16" s="1" t="s">
        <v>6</v>
      </c>
      <c r="B16" s="7">
        <f t="shared" si="0"/>
        <v>4921.5</v>
      </c>
      <c r="C16" s="1">
        <v>59058</v>
      </c>
    </row>
    <row r="17" spans="1:3" ht="15.75">
      <c r="A17" s="1" t="s">
        <v>7</v>
      </c>
      <c r="B17" s="7">
        <f t="shared" si="0"/>
        <v>1924.0200000000002</v>
      </c>
      <c r="C17" s="1">
        <v>23088.240000000002</v>
      </c>
    </row>
    <row r="18" spans="1:3" ht="15.75">
      <c r="A18" s="1" t="s">
        <v>8</v>
      </c>
      <c r="B18" s="7">
        <f t="shared" si="0"/>
        <v>229.14833333333334</v>
      </c>
      <c r="C18" s="1">
        <v>2749.78</v>
      </c>
    </row>
    <row r="19" spans="1:3" ht="15.75">
      <c r="A19" s="1" t="s">
        <v>9</v>
      </c>
      <c r="B19" s="7">
        <f t="shared" si="0"/>
        <v>0</v>
      </c>
      <c r="C19" s="1"/>
    </row>
    <row r="20" spans="1:3" ht="15.75">
      <c r="A20" s="1" t="s">
        <v>10</v>
      </c>
      <c r="B20" s="7">
        <f t="shared" si="0"/>
        <v>947.53583333333336</v>
      </c>
      <c r="C20" s="1">
        <v>11370.43</v>
      </c>
    </row>
    <row r="21" spans="1:3" ht="15.75">
      <c r="A21" s="1" t="s">
        <v>11</v>
      </c>
      <c r="B21" s="7">
        <f t="shared" si="0"/>
        <v>2526.2608333333333</v>
      </c>
      <c r="C21" s="1">
        <v>30315.13</v>
      </c>
    </row>
    <row r="22" spans="1:3" ht="15.75">
      <c r="A22" s="1" t="s">
        <v>12</v>
      </c>
      <c r="B22" s="7">
        <f t="shared" si="0"/>
        <v>3795.3708333333329</v>
      </c>
      <c r="C22" s="1">
        <v>45544.45</v>
      </c>
    </row>
    <row r="23" spans="1:3" ht="15.75">
      <c r="A23" s="1" t="s">
        <v>13</v>
      </c>
      <c r="B23" s="7">
        <f t="shared" si="0"/>
        <v>991.37416666666661</v>
      </c>
      <c r="C23" s="1">
        <v>11896.49</v>
      </c>
    </row>
    <row r="24" spans="1:3" ht="15.75">
      <c r="A24" s="1" t="s">
        <v>14</v>
      </c>
      <c r="B24" s="7">
        <f t="shared" si="0"/>
        <v>2699.2449999999999</v>
      </c>
      <c r="C24" s="1">
        <v>32390.94</v>
      </c>
    </row>
    <row r="25" spans="1:3" ht="15.75">
      <c r="A25" s="1" t="s">
        <v>29</v>
      </c>
      <c r="B25" s="7">
        <f t="shared" si="0"/>
        <v>334.56916666666666</v>
      </c>
      <c r="C25" s="1">
        <v>4014.83</v>
      </c>
    </row>
    <row r="26" spans="1:3" ht="15.75">
      <c r="A26" s="1" t="s">
        <v>19</v>
      </c>
      <c r="B26" s="7">
        <f t="shared" si="0"/>
        <v>197.83249999999998</v>
      </c>
      <c r="C26" s="1">
        <v>2373.9899999999998</v>
      </c>
    </row>
    <row r="27" spans="1:3" ht="15.75">
      <c r="A27" s="1" t="s">
        <v>78</v>
      </c>
      <c r="B27" s="7">
        <f t="shared" si="0"/>
        <v>12371.879166666666</v>
      </c>
      <c r="C27" s="1">
        <v>148462.54999999999</v>
      </c>
    </row>
    <row r="28" spans="1:3" ht="15.75">
      <c r="A28" s="6" t="s">
        <v>79</v>
      </c>
      <c r="B28" s="7">
        <f t="shared" si="0"/>
        <v>51601.278333333343</v>
      </c>
      <c r="C28" s="1">
        <f>SUM(C13:C27)</f>
        <v>619215.34000000008</v>
      </c>
    </row>
    <row r="29" spans="1:3" ht="15.75">
      <c r="A29" s="6" t="s">
        <v>80</v>
      </c>
      <c r="B29" s="7"/>
      <c r="C29" s="6">
        <v>131021.56</v>
      </c>
    </row>
    <row r="30" spans="1:3" ht="15.75">
      <c r="A30" s="6" t="s">
        <v>81</v>
      </c>
      <c r="B30" s="1"/>
      <c r="C30" s="1"/>
    </row>
    <row r="31" spans="1:3" ht="15.75">
      <c r="A31" s="1" t="s">
        <v>33</v>
      </c>
      <c r="B31" s="6">
        <v>115555.14</v>
      </c>
      <c r="C31" s="1"/>
    </row>
    <row r="32" spans="1:3" ht="15.75">
      <c r="A32" s="1" t="s">
        <v>22</v>
      </c>
      <c r="B32" s="1"/>
      <c r="C32" s="1"/>
    </row>
    <row r="33" spans="1:3" ht="15.75">
      <c r="A33" s="1" t="s">
        <v>23</v>
      </c>
    </row>
    <row r="34" spans="1:3" ht="15.75">
      <c r="A34" s="1" t="s">
        <v>82</v>
      </c>
      <c r="B34" s="4">
        <v>81420.63</v>
      </c>
    </row>
    <row r="36" spans="1:3" ht="15.75">
      <c r="A36" s="10" t="s">
        <v>73</v>
      </c>
    </row>
    <row r="38" spans="1:3">
      <c r="A38" t="s">
        <v>75</v>
      </c>
    </row>
    <row r="39" spans="1:3">
      <c r="A39" t="s">
        <v>74</v>
      </c>
    </row>
    <row r="41" spans="1:3">
      <c r="A41" t="s">
        <v>76</v>
      </c>
    </row>
    <row r="46" spans="1:3" ht="15.75">
      <c r="A46" s="1" t="s">
        <v>0</v>
      </c>
    </row>
    <row r="47" spans="1:3" ht="15.75">
      <c r="A47" s="1" t="s">
        <v>41</v>
      </c>
      <c r="B47" s="1"/>
      <c r="C47" s="1"/>
    </row>
    <row r="48" spans="1:3" ht="15.75">
      <c r="A48" s="1" t="s">
        <v>85</v>
      </c>
      <c r="B48" s="1"/>
      <c r="C48" s="1"/>
    </row>
    <row r="49" spans="1:3" ht="15.75">
      <c r="A49" s="1" t="s">
        <v>28</v>
      </c>
      <c r="B49" s="1"/>
      <c r="C49" s="1"/>
    </row>
    <row r="50" spans="1:3" ht="15.75">
      <c r="A50" s="1" t="s">
        <v>77</v>
      </c>
      <c r="B50" s="1"/>
      <c r="C50" s="1"/>
    </row>
    <row r="51" spans="1:3" ht="15.75">
      <c r="A51" s="1"/>
      <c r="B51" s="1"/>
      <c r="C51" s="1"/>
    </row>
    <row r="52" spans="1:3" ht="15.75">
      <c r="A52" s="1" t="s">
        <v>1</v>
      </c>
      <c r="B52" s="1" t="s">
        <v>2</v>
      </c>
      <c r="C52" s="1" t="s">
        <v>3</v>
      </c>
    </row>
    <row r="53" spans="1:3" ht="15.75">
      <c r="A53" s="1" t="s">
        <v>138</v>
      </c>
      <c r="B53" s="2"/>
      <c r="C53" s="6">
        <v>0</v>
      </c>
    </row>
    <row r="54" spans="1:3" ht="15.75">
      <c r="A54" s="1" t="s">
        <v>4</v>
      </c>
      <c r="B54" s="7">
        <f>C54/12</f>
        <v>42523.825000000004</v>
      </c>
      <c r="C54" s="1">
        <v>510285.9</v>
      </c>
    </row>
    <row r="55" spans="1:3" ht="15.75">
      <c r="A55" s="1" t="s">
        <v>31</v>
      </c>
      <c r="B55" s="7">
        <f t="shared" ref="B55:B73" si="1">C55/12</f>
        <v>1168.3333333333333</v>
      </c>
      <c r="C55" s="1">
        <v>14020</v>
      </c>
    </row>
    <row r="56" spans="1:3" ht="15.75">
      <c r="A56" s="6" t="s">
        <v>17</v>
      </c>
      <c r="B56" s="7">
        <f t="shared" si="1"/>
        <v>43692.158333333333</v>
      </c>
      <c r="C56" s="6">
        <v>524305.9</v>
      </c>
    </row>
    <row r="57" spans="1:3" ht="15.75">
      <c r="A57" s="1" t="s">
        <v>18</v>
      </c>
      <c r="B57" s="7">
        <f t="shared" si="1"/>
        <v>0</v>
      </c>
      <c r="C57" s="1"/>
    </row>
    <row r="58" spans="1:3" ht="15.75">
      <c r="A58" s="1" t="s">
        <v>25</v>
      </c>
      <c r="B58" s="7">
        <f t="shared" si="1"/>
        <v>11069.520833333334</v>
      </c>
      <c r="C58" s="1">
        <f>108547.4+24286.85</f>
        <v>132834.25</v>
      </c>
    </row>
    <row r="59" spans="1:3" ht="15.75">
      <c r="A59" s="1" t="s">
        <v>32</v>
      </c>
      <c r="B59" s="7">
        <f t="shared" si="1"/>
        <v>6149.2691666666678</v>
      </c>
      <c r="C59" s="1">
        <f>32913.12+40878.11</f>
        <v>73791.23000000001</v>
      </c>
    </row>
    <row r="60" spans="1:3" ht="15.75">
      <c r="A60" s="1" t="s">
        <v>5</v>
      </c>
      <c r="B60" s="7">
        <f t="shared" si="1"/>
        <v>0</v>
      </c>
      <c r="C60" s="1"/>
    </row>
    <row r="61" spans="1:3" ht="15.75">
      <c r="A61" s="1" t="s">
        <v>6</v>
      </c>
      <c r="B61" s="7">
        <f t="shared" si="1"/>
        <v>4210.666666666667</v>
      </c>
      <c r="C61" s="1">
        <v>50528</v>
      </c>
    </row>
    <row r="62" spans="1:3" ht="15.75">
      <c r="A62" s="1" t="s">
        <v>7</v>
      </c>
      <c r="B62" s="7">
        <f t="shared" si="1"/>
        <v>1622.2133333333334</v>
      </c>
      <c r="C62" s="1">
        <v>19466.560000000001</v>
      </c>
    </row>
    <row r="63" spans="1:3" ht="15.75">
      <c r="A63" s="1" t="s">
        <v>8</v>
      </c>
      <c r="B63" s="7">
        <f t="shared" si="1"/>
        <v>194.36666666666667</v>
      </c>
      <c r="C63" s="1">
        <v>2332.4</v>
      </c>
    </row>
    <row r="64" spans="1:3" ht="15.75">
      <c r="A64" s="1" t="s">
        <v>9</v>
      </c>
      <c r="B64" s="7">
        <f t="shared" si="1"/>
        <v>0</v>
      </c>
      <c r="C64" s="1"/>
    </row>
    <row r="65" spans="1:3" ht="15.75">
      <c r="A65" s="1" t="s">
        <v>10</v>
      </c>
      <c r="B65" s="7">
        <f t="shared" si="1"/>
        <v>789.61333333333334</v>
      </c>
      <c r="C65" s="1">
        <v>9475.36</v>
      </c>
    </row>
    <row r="66" spans="1:3" ht="15.75">
      <c r="A66" s="1" t="s">
        <v>11</v>
      </c>
      <c r="B66" s="7">
        <f t="shared" si="1"/>
        <v>2112.375</v>
      </c>
      <c r="C66" s="1">
        <v>25348.5</v>
      </c>
    </row>
    <row r="67" spans="1:3" ht="15.75">
      <c r="A67" s="1" t="s">
        <v>12</v>
      </c>
      <c r="B67" s="7">
        <f t="shared" si="1"/>
        <v>3273.5258333333331</v>
      </c>
      <c r="C67" s="1">
        <v>39282.31</v>
      </c>
    </row>
    <row r="68" spans="1:3" ht="15.75">
      <c r="A68" s="1" t="s">
        <v>13</v>
      </c>
      <c r="B68" s="7">
        <f t="shared" si="1"/>
        <v>909.95416666666677</v>
      </c>
      <c r="C68" s="1">
        <v>10919.45</v>
      </c>
    </row>
    <row r="69" spans="1:3" ht="15.75">
      <c r="A69" s="1" t="s">
        <v>14</v>
      </c>
      <c r="B69" s="7">
        <f t="shared" si="1"/>
        <v>2272.6933333333332</v>
      </c>
      <c r="C69" s="1">
        <v>27272.32</v>
      </c>
    </row>
    <row r="70" spans="1:3" ht="15.75">
      <c r="A70" s="1" t="s">
        <v>29</v>
      </c>
      <c r="B70" s="7">
        <f t="shared" si="1"/>
        <v>334.56916666666666</v>
      </c>
      <c r="C70" s="1">
        <v>4014.83</v>
      </c>
    </row>
    <row r="71" spans="1:3" ht="15.75">
      <c r="A71" s="1" t="s">
        <v>19</v>
      </c>
      <c r="B71" s="7">
        <f t="shared" si="1"/>
        <v>197.83249999999998</v>
      </c>
      <c r="C71" s="1">
        <v>2373.9899999999998</v>
      </c>
    </row>
    <row r="72" spans="1:3" ht="15.75">
      <c r="A72" s="1" t="s">
        <v>78</v>
      </c>
      <c r="B72" s="7">
        <f t="shared" si="1"/>
        <v>12371.879166666666</v>
      </c>
      <c r="C72" s="1">
        <v>148462.54999999999</v>
      </c>
    </row>
    <row r="73" spans="1:3" ht="15.75">
      <c r="A73" s="6" t="s">
        <v>79</v>
      </c>
      <c r="B73" s="7">
        <f t="shared" si="1"/>
        <v>45508.479166666664</v>
      </c>
      <c r="C73" s="1">
        <f>SUM(C58:C72)</f>
        <v>546101.75</v>
      </c>
    </row>
    <row r="74" spans="1:3" ht="15.75">
      <c r="A74" s="6" t="s">
        <v>80</v>
      </c>
      <c r="B74" s="7"/>
      <c r="C74" s="6"/>
    </row>
    <row r="75" spans="1:3" ht="15.75">
      <c r="A75" s="6" t="s">
        <v>81</v>
      </c>
      <c r="B75" s="1"/>
      <c r="C75" s="1">
        <v>-21795.85</v>
      </c>
    </row>
    <row r="76" spans="1:3" ht="15.75">
      <c r="A76" s="1" t="s">
        <v>33</v>
      </c>
      <c r="B76" s="6">
        <v>115555.14</v>
      </c>
      <c r="C76" s="1"/>
    </row>
    <row r="77" spans="1:3" ht="15.75">
      <c r="A77" s="1" t="s">
        <v>22</v>
      </c>
      <c r="B77" s="1"/>
      <c r="C77" s="1"/>
    </row>
    <row r="78" spans="1:3" ht="15.75">
      <c r="A78" s="1" t="s">
        <v>23</v>
      </c>
    </row>
    <row r="79" spans="1:3" ht="15.75">
      <c r="A79" s="1" t="s">
        <v>82</v>
      </c>
      <c r="B79" s="4">
        <v>81420.63</v>
      </c>
    </row>
    <row r="81" spans="1:1" ht="15.75">
      <c r="A81" s="10" t="s">
        <v>73</v>
      </c>
    </row>
    <row r="83" spans="1:1">
      <c r="A83" t="s">
        <v>75</v>
      </c>
    </row>
    <row r="84" spans="1:1">
      <c r="A84" t="s">
        <v>74</v>
      </c>
    </row>
    <row r="86" spans="1:1">
      <c r="A86" t="s">
        <v>76</v>
      </c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1"/>
  <sheetViews>
    <sheetView topLeftCell="A2" workbookViewId="0">
      <selection activeCell="B34" sqref="B34"/>
    </sheetView>
  </sheetViews>
  <sheetFormatPr defaultRowHeight="15"/>
  <cols>
    <col min="1" max="1" width="53.7109375" customWidth="1"/>
    <col min="2" max="2" width="14" customWidth="1"/>
    <col min="3" max="3" width="14.140625" customWidth="1"/>
  </cols>
  <sheetData>
    <row r="1" spans="1:3" ht="15.75">
      <c r="A1" s="1" t="s">
        <v>0</v>
      </c>
    </row>
    <row r="2" spans="1:3" ht="15.75">
      <c r="A2" s="1" t="s">
        <v>121</v>
      </c>
      <c r="B2" s="1"/>
      <c r="C2" s="1"/>
    </row>
    <row r="3" spans="1:3" ht="15.75">
      <c r="A3" s="1" t="s">
        <v>92</v>
      </c>
      <c r="B3" s="1"/>
      <c r="C3" s="1"/>
    </row>
    <row r="4" spans="1:3" ht="15.75">
      <c r="A4" s="1" t="s">
        <v>28</v>
      </c>
      <c r="B4" s="1"/>
      <c r="C4" s="1"/>
    </row>
    <row r="5" spans="1:3" ht="15.75">
      <c r="A5" s="1" t="s">
        <v>77</v>
      </c>
      <c r="B5" s="1"/>
      <c r="C5" s="1"/>
    </row>
    <row r="6" spans="1:3" ht="15.75">
      <c r="A6" s="1"/>
      <c r="B6" s="1"/>
      <c r="C6" s="1"/>
    </row>
    <row r="7" spans="1:3" ht="15.75">
      <c r="A7" s="1" t="s">
        <v>1</v>
      </c>
      <c r="B7" s="1" t="s">
        <v>2</v>
      </c>
      <c r="C7" s="1" t="s">
        <v>3</v>
      </c>
    </row>
    <row r="8" spans="1:3" ht="15.75">
      <c r="A8" s="1" t="s">
        <v>24</v>
      </c>
      <c r="B8" s="2"/>
      <c r="C8" s="6">
        <v>3355.99</v>
      </c>
    </row>
    <row r="9" spans="1:3" ht="15.75">
      <c r="A9" s="1" t="s">
        <v>4</v>
      </c>
      <c r="B9" s="7">
        <f>C9/12</f>
        <v>37353.725833333338</v>
      </c>
      <c r="C9" s="1">
        <v>448244.71</v>
      </c>
    </row>
    <row r="10" spans="1:3" ht="15.75">
      <c r="A10" s="1" t="s">
        <v>31</v>
      </c>
      <c r="B10" s="7">
        <f t="shared" ref="B10:B28" si="0">C10/12</f>
        <v>1000.8333333333334</v>
      </c>
      <c r="C10" s="1">
        <v>12010</v>
      </c>
    </row>
    <row r="11" spans="1:3" ht="15.75">
      <c r="A11" s="6" t="s">
        <v>17</v>
      </c>
      <c r="B11" s="7">
        <f t="shared" si="0"/>
        <v>38354.559166666666</v>
      </c>
      <c r="C11" s="6">
        <f>SUM(C9:C10)</f>
        <v>460254.71</v>
      </c>
    </row>
    <row r="12" spans="1:3" ht="15.75">
      <c r="A12" s="1" t="s">
        <v>18</v>
      </c>
      <c r="B12" s="7">
        <f t="shared" si="0"/>
        <v>0</v>
      </c>
      <c r="C12" s="1"/>
    </row>
    <row r="13" spans="1:3" ht="15.75">
      <c r="A13" s="1" t="s">
        <v>25</v>
      </c>
      <c r="B13" s="7">
        <f t="shared" si="0"/>
        <v>9778.5158333333329</v>
      </c>
      <c r="C13" s="1">
        <f>95887.83+21454.36</f>
        <v>117342.19</v>
      </c>
    </row>
    <row r="14" spans="1:3" ht="15.75">
      <c r="A14" s="1" t="s">
        <v>32</v>
      </c>
      <c r="B14" s="7">
        <f t="shared" si="0"/>
        <v>6116.8324999999995</v>
      </c>
      <c r="C14" s="1">
        <f>29731.82+43670.17</f>
        <v>73401.989999999991</v>
      </c>
    </row>
    <row r="15" spans="1:3" ht="15.75">
      <c r="A15" s="1" t="s">
        <v>5</v>
      </c>
      <c r="B15" s="7">
        <f t="shared" si="0"/>
        <v>0</v>
      </c>
      <c r="C15" s="1"/>
    </row>
    <row r="16" spans="1:3" ht="15.75">
      <c r="A16" s="1" t="s">
        <v>6</v>
      </c>
      <c r="B16" s="7">
        <f t="shared" si="0"/>
        <v>928.83333333333337</v>
      </c>
      <c r="C16" s="1">
        <v>11146</v>
      </c>
    </row>
    <row r="17" spans="1:3" ht="15.75">
      <c r="A17" s="1" t="s">
        <v>7</v>
      </c>
      <c r="B17" s="7">
        <f t="shared" si="0"/>
        <v>1412.615</v>
      </c>
      <c r="C17" s="1">
        <v>16951.38</v>
      </c>
    </row>
    <row r="18" spans="1:3" ht="15.75">
      <c r="A18" s="1" t="s">
        <v>8</v>
      </c>
      <c r="B18" s="7">
        <f t="shared" si="0"/>
        <v>247.00666666666666</v>
      </c>
      <c r="C18" s="1">
        <v>2964.08</v>
      </c>
    </row>
    <row r="19" spans="1:3" ht="15.75">
      <c r="A19" s="1" t="s">
        <v>9</v>
      </c>
      <c r="B19" s="7">
        <f t="shared" si="0"/>
        <v>0</v>
      </c>
      <c r="C19" s="1"/>
    </row>
    <row r="20" spans="1:3" ht="15.75">
      <c r="A20" s="1" t="s">
        <v>10</v>
      </c>
      <c r="B20" s="7">
        <f t="shared" si="0"/>
        <v>767.50416666666661</v>
      </c>
      <c r="C20" s="1">
        <v>9210.0499999999993</v>
      </c>
    </row>
    <row r="21" spans="1:3" ht="15.75">
      <c r="A21" s="1" t="s">
        <v>11</v>
      </c>
      <c r="B21" s="7">
        <f t="shared" si="0"/>
        <v>1857.6358333333335</v>
      </c>
      <c r="C21" s="1">
        <v>22291.63</v>
      </c>
    </row>
    <row r="22" spans="1:3" ht="15.75">
      <c r="A22" s="1" t="s">
        <v>12</v>
      </c>
      <c r="B22" s="7">
        <f t="shared" si="0"/>
        <v>2793.9416666666671</v>
      </c>
      <c r="C22" s="1">
        <v>33527.300000000003</v>
      </c>
    </row>
    <row r="23" spans="1:3" ht="15.75">
      <c r="A23" s="1" t="s">
        <v>13</v>
      </c>
      <c r="B23" s="7">
        <f t="shared" si="0"/>
        <v>669.5958333333333</v>
      </c>
      <c r="C23" s="1">
        <v>8035.15</v>
      </c>
    </row>
    <row r="24" spans="1:3" ht="15.75">
      <c r="A24" s="1" t="s">
        <v>14</v>
      </c>
      <c r="B24" s="7">
        <f t="shared" si="0"/>
        <v>1995.0525</v>
      </c>
      <c r="C24" s="1">
        <v>23940.63</v>
      </c>
    </row>
    <row r="25" spans="1:3" ht="15.75">
      <c r="A25" s="1" t="s">
        <v>29</v>
      </c>
      <c r="B25" s="7">
        <f t="shared" si="0"/>
        <v>221.50750000000002</v>
      </c>
      <c r="C25" s="1">
        <v>2658.09</v>
      </c>
    </row>
    <row r="26" spans="1:3" ht="15.75">
      <c r="A26" s="1" t="s">
        <v>19</v>
      </c>
      <c r="B26" s="7">
        <f t="shared" si="0"/>
        <v>3105</v>
      </c>
      <c r="C26" s="1">
        <v>37260</v>
      </c>
    </row>
    <row r="27" spans="1:3" ht="15.75">
      <c r="A27" s="1" t="s">
        <v>78</v>
      </c>
      <c r="B27" s="7">
        <f t="shared" si="0"/>
        <v>9083.4424999999992</v>
      </c>
      <c r="C27" s="1">
        <v>109001.31</v>
      </c>
    </row>
    <row r="28" spans="1:3" ht="15.75">
      <c r="A28" s="6" t="s">
        <v>79</v>
      </c>
      <c r="B28" s="7">
        <f t="shared" si="0"/>
        <v>38977.483333333337</v>
      </c>
      <c r="C28" s="6">
        <f>SUM(C13:C27)</f>
        <v>467729.80000000005</v>
      </c>
    </row>
    <row r="29" spans="1:3" ht="15.75">
      <c r="A29" s="6" t="s">
        <v>80</v>
      </c>
      <c r="B29" s="7"/>
      <c r="C29" s="6"/>
    </row>
    <row r="30" spans="1:3" ht="15.75">
      <c r="A30" s="6" t="s">
        <v>81</v>
      </c>
      <c r="B30" s="1"/>
      <c r="C30" s="6">
        <v>-4119.1000000000004</v>
      </c>
    </row>
    <row r="31" spans="1:3" ht="15.75">
      <c r="A31" s="1" t="s">
        <v>33</v>
      </c>
      <c r="B31" s="6">
        <v>191162.54</v>
      </c>
      <c r="C31" s="1"/>
    </row>
    <row r="32" spans="1:3" ht="15.75">
      <c r="A32" s="1" t="s">
        <v>22</v>
      </c>
      <c r="B32" s="1"/>
      <c r="C32" s="1"/>
    </row>
    <row r="33" spans="1:3" ht="15.75">
      <c r="A33" s="1" t="s">
        <v>23</v>
      </c>
    </row>
    <row r="34" spans="1:3" ht="15.75">
      <c r="A34" s="1" t="s">
        <v>82</v>
      </c>
      <c r="B34" s="4">
        <v>0</v>
      </c>
      <c r="C34" s="13"/>
    </row>
    <row r="36" spans="1:3" ht="15.75">
      <c r="A36" s="10" t="s">
        <v>73</v>
      </c>
    </row>
    <row r="38" spans="1:3">
      <c r="A38" t="s">
        <v>75</v>
      </c>
    </row>
    <row r="39" spans="1:3">
      <c r="A39" t="s">
        <v>74</v>
      </c>
    </row>
    <row r="41" spans="1:3">
      <c r="A41" t="s">
        <v>76</v>
      </c>
    </row>
  </sheetData>
  <pageMargins left="0.7" right="0.7" top="0.75" bottom="0.75" header="0.3" footer="0.3"/>
  <pageSetup paperSize="9" orientation="portrait" verticalDpi="0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C41"/>
  <sheetViews>
    <sheetView topLeftCell="A17" workbookViewId="0">
      <selection activeCell="C30" sqref="C30"/>
    </sheetView>
  </sheetViews>
  <sheetFormatPr defaultRowHeight="15"/>
  <cols>
    <col min="1" max="1" width="53.140625" customWidth="1"/>
    <col min="2" max="2" width="13.5703125" customWidth="1"/>
    <col min="3" max="3" width="11.28515625" customWidth="1"/>
  </cols>
  <sheetData>
    <row r="1" spans="1:3" ht="15.75">
      <c r="A1" s="1" t="s">
        <v>0</v>
      </c>
    </row>
    <row r="2" spans="1:3" ht="15.75">
      <c r="A2" s="1" t="s">
        <v>90</v>
      </c>
      <c r="B2" s="1"/>
      <c r="C2" s="1"/>
    </row>
    <row r="3" spans="1:3" ht="15.75">
      <c r="A3" s="1" t="s">
        <v>85</v>
      </c>
      <c r="B3" s="1"/>
      <c r="C3" s="1"/>
    </row>
    <row r="4" spans="1:3" ht="15.75">
      <c r="A4" s="1" t="s">
        <v>28</v>
      </c>
      <c r="B4" s="1"/>
      <c r="C4" s="1"/>
    </row>
    <row r="5" spans="1:3" ht="15.75">
      <c r="A5" s="1" t="s">
        <v>77</v>
      </c>
      <c r="B5" s="1"/>
      <c r="C5" s="1"/>
    </row>
    <row r="6" spans="1:3" ht="15.75">
      <c r="A6" s="1"/>
      <c r="B6" s="1"/>
      <c r="C6" s="1"/>
    </row>
    <row r="7" spans="1:3" ht="15.75">
      <c r="A7" s="1" t="s">
        <v>1</v>
      </c>
      <c r="B7" s="1" t="s">
        <v>2</v>
      </c>
      <c r="C7" s="1" t="s">
        <v>3</v>
      </c>
    </row>
    <row r="8" spans="1:3" ht="15.75">
      <c r="A8" s="1" t="s">
        <v>24</v>
      </c>
      <c r="B8" s="2"/>
      <c r="C8" s="6">
        <v>331.47</v>
      </c>
    </row>
    <row r="9" spans="1:3" ht="15.75">
      <c r="A9" s="1" t="s">
        <v>4</v>
      </c>
      <c r="B9" s="7">
        <f>C9/12</f>
        <v>53095.641666666663</v>
      </c>
      <c r="C9" s="1">
        <v>637147.69999999995</v>
      </c>
    </row>
    <row r="10" spans="1:3" ht="15.75">
      <c r="A10" s="1" t="s">
        <v>31</v>
      </c>
      <c r="B10" s="7">
        <f t="shared" ref="B10:B28" si="0">C10/12</f>
        <v>933.33333333333337</v>
      </c>
      <c r="C10" s="1">
        <v>11200</v>
      </c>
    </row>
    <row r="11" spans="1:3" ht="15.75">
      <c r="A11" s="6" t="s">
        <v>17</v>
      </c>
      <c r="B11" s="7">
        <f t="shared" si="0"/>
        <v>54028.974999999999</v>
      </c>
      <c r="C11" s="6">
        <v>648347.69999999995</v>
      </c>
    </row>
    <row r="12" spans="1:3" ht="15.75">
      <c r="A12" s="1" t="s">
        <v>18</v>
      </c>
      <c r="B12" s="7">
        <f t="shared" si="0"/>
        <v>0</v>
      </c>
      <c r="C12" s="1"/>
    </row>
    <row r="13" spans="1:3" ht="15.75">
      <c r="A13" s="1" t="s">
        <v>25</v>
      </c>
      <c r="B13" s="7">
        <f t="shared" si="0"/>
        <v>13942.163333333332</v>
      </c>
      <c r="C13" s="1">
        <v>167305.96</v>
      </c>
    </row>
    <row r="14" spans="1:3" ht="15.75">
      <c r="A14" s="1" t="s">
        <v>32</v>
      </c>
      <c r="B14" s="7">
        <f t="shared" si="0"/>
        <v>10564.180833333334</v>
      </c>
      <c r="C14" s="1">
        <v>126770.17</v>
      </c>
    </row>
    <row r="15" spans="1:3" ht="15.75">
      <c r="A15" s="1" t="s">
        <v>5</v>
      </c>
      <c r="B15" s="7">
        <f t="shared" si="0"/>
        <v>0</v>
      </c>
      <c r="C15" s="1"/>
    </row>
    <row r="16" spans="1:3" ht="15.75">
      <c r="A16" s="1" t="s">
        <v>6</v>
      </c>
      <c r="B16" s="7">
        <f t="shared" si="0"/>
        <v>1294</v>
      </c>
      <c r="C16" s="1">
        <v>15528</v>
      </c>
    </row>
    <row r="17" spans="1:3" ht="15.75">
      <c r="A17" s="1" t="s">
        <v>7</v>
      </c>
      <c r="B17" s="7">
        <f t="shared" si="0"/>
        <v>2043.3999999999999</v>
      </c>
      <c r="C17" s="1">
        <v>24520.799999999999</v>
      </c>
    </row>
    <row r="18" spans="1:3" ht="15.75">
      <c r="A18" s="1" t="s">
        <v>8</v>
      </c>
      <c r="B18" s="7">
        <f t="shared" si="0"/>
        <v>391.13000000000005</v>
      </c>
      <c r="C18" s="1">
        <v>4693.5600000000004</v>
      </c>
    </row>
    <row r="19" spans="1:3" ht="15.75">
      <c r="A19" s="1" t="s">
        <v>9</v>
      </c>
      <c r="B19" s="7">
        <f t="shared" si="0"/>
        <v>0</v>
      </c>
      <c r="C19" s="1"/>
    </row>
    <row r="20" spans="1:3" ht="15.75">
      <c r="A20" s="1" t="s">
        <v>10</v>
      </c>
      <c r="B20" s="7">
        <f t="shared" si="0"/>
        <v>1146.5183333333332</v>
      </c>
      <c r="C20" s="1">
        <v>13758.22</v>
      </c>
    </row>
    <row r="21" spans="1:3" ht="15.75">
      <c r="A21" s="1" t="s">
        <v>11</v>
      </c>
      <c r="B21" s="7">
        <f t="shared" si="0"/>
        <v>2636.9533333333334</v>
      </c>
      <c r="C21" s="1">
        <v>31643.439999999999</v>
      </c>
    </row>
    <row r="22" spans="1:3" ht="15.75">
      <c r="A22" s="1" t="s">
        <v>12</v>
      </c>
      <c r="B22" s="7">
        <f t="shared" si="0"/>
        <v>3983.5891666666666</v>
      </c>
      <c r="C22" s="1">
        <v>47803.07</v>
      </c>
    </row>
    <row r="23" spans="1:3" ht="15.75">
      <c r="A23" s="1" t="s">
        <v>13</v>
      </c>
      <c r="B23" s="7">
        <f t="shared" si="0"/>
        <v>909.36166666666668</v>
      </c>
      <c r="C23" s="1">
        <v>10912.34</v>
      </c>
    </row>
    <row r="24" spans="1:3" ht="15.75">
      <c r="A24" s="1" t="s">
        <v>14</v>
      </c>
      <c r="B24" s="7">
        <f t="shared" si="0"/>
        <v>2810.3741666666665</v>
      </c>
      <c r="C24" s="1">
        <v>33724.49</v>
      </c>
    </row>
    <row r="25" spans="1:3" ht="15.75">
      <c r="A25" s="1" t="s">
        <v>29</v>
      </c>
      <c r="B25" s="7">
        <f t="shared" si="0"/>
        <v>334.49916666666667</v>
      </c>
      <c r="C25" s="1">
        <v>4013.99</v>
      </c>
    </row>
    <row r="26" spans="1:3" ht="15.75">
      <c r="A26" s="1" t="s">
        <v>19</v>
      </c>
      <c r="B26" s="7">
        <f t="shared" si="0"/>
        <v>0</v>
      </c>
      <c r="C26" s="1"/>
    </row>
    <row r="27" spans="1:3" ht="15.75">
      <c r="A27" s="1" t="s">
        <v>78</v>
      </c>
      <c r="B27" s="7">
        <f t="shared" si="0"/>
        <v>13139.263333333334</v>
      </c>
      <c r="C27" s="1">
        <v>157671.16</v>
      </c>
    </row>
    <row r="28" spans="1:3" ht="15.75">
      <c r="A28" s="6" t="s">
        <v>79</v>
      </c>
      <c r="B28" s="7">
        <f t="shared" si="0"/>
        <v>53195.433333333327</v>
      </c>
      <c r="C28" s="1">
        <f>SUM(C13:C27)</f>
        <v>638345.19999999995</v>
      </c>
    </row>
    <row r="29" spans="1:3" ht="15.75">
      <c r="A29" s="6" t="s">
        <v>80</v>
      </c>
      <c r="B29" s="7"/>
      <c r="C29" s="6">
        <v>10333.969999999999</v>
      </c>
    </row>
    <row r="30" spans="1:3" ht="15.75">
      <c r="A30" s="6" t="s">
        <v>81</v>
      </c>
      <c r="B30" s="1"/>
      <c r="C30" s="1"/>
    </row>
    <row r="31" spans="1:3" ht="15.75">
      <c r="A31" s="1" t="s">
        <v>33</v>
      </c>
      <c r="B31" s="6">
        <v>336216.15</v>
      </c>
      <c r="C31" s="1"/>
    </row>
    <row r="32" spans="1:3" ht="15.75">
      <c r="A32" s="1" t="s">
        <v>22</v>
      </c>
      <c r="B32" s="1"/>
      <c r="C32" s="1"/>
    </row>
    <row r="33" spans="1:2" ht="15.75">
      <c r="A33" s="1" t="s">
        <v>23</v>
      </c>
    </row>
    <row r="34" spans="1:2" ht="15.75">
      <c r="A34" s="1" t="s">
        <v>82</v>
      </c>
      <c r="B34" s="4">
        <v>4739.12</v>
      </c>
    </row>
    <row r="36" spans="1:2" ht="15.75">
      <c r="A36" s="10" t="s">
        <v>73</v>
      </c>
    </row>
    <row r="38" spans="1:2">
      <c r="A38" t="s">
        <v>75</v>
      </c>
    </row>
    <row r="39" spans="1:2">
      <c r="A39" t="s">
        <v>74</v>
      </c>
    </row>
    <row r="41" spans="1:2">
      <c r="A41" t="s">
        <v>76</v>
      </c>
    </row>
  </sheetData>
  <pageMargins left="0.7" right="0.7" top="0.75" bottom="0.75" header="0.3" footer="0.3"/>
  <pageSetup paperSize="9" orientation="portrait" verticalDpi="0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C41"/>
  <sheetViews>
    <sheetView workbookViewId="0">
      <selection activeCell="D34" sqref="D34"/>
    </sheetView>
  </sheetViews>
  <sheetFormatPr defaultRowHeight="15"/>
  <cols>
    <col min="1" max="1" width="53.5703125" customWidth="1"/>
    <col min="2" max="2" width="14.42578125" customWidth="1"/>
    <col min="3" max="3" width="14" customWidth="1"/>
  </cols>
  <sheetData>
    <row r="1" spans="1:3" ht="15.75">
      <c r="A1" s="1" t="s">
        <v>0</v>
      </c>
    </row>
    <row r="2" spans="1:3" ht="15.75">
      <c r="A2" s="1" t="s">
        <v>42</v>
      </c>
      <c r="B2" s="1"/>
      <c r="C2" s="1"/>
    </row>
    <row r="3" spans="1:3" ht="15.75">
      <c r="A3" s="1" t="s">
        <v>85</v>
      </c>
      <c r="B3" s="1"/>
      <c r="C3" s="1"/>
    </row>
    <row r="4" spans="1:3" ht="15.75">
      <c r="A4" s="1" t="s">
        <v>28</v>
      </c>
      <c r="B4" s="1"/>
      <c r="C4" s="1"/>
    </row>
    <row r="5" spans="1:3" ht="15.75">
      <c r="A5" s="1" t="s">
        <v>77</v>
      </c>
      <c r="B5" s="1"/>
      <c r="C5" s="1"/>
    </row>
    <row r="6" spans="1:3" ht="15.75">
      <c r="A6" s="1"/>
      <c r="B6" s="1"/>
      <c r="C6" s="1"/>
    </row>
    <row r="7" spans="1:3" ht="15.75">
      <c r="A7" s="1" t="s">
        <v>1</v>
      </c>
      <c r="B7" s="1" t="s">
        <v>2</v>
      </c>
      <c r="C7" s="1" t="s">
        <v>3</v>
      </c>
    </row>
    <row r="8" spans="1:3" ht="15.75">
      <c r="A8" s="6" t="s">
        <v>138</v>
      </c>
      <c r="B8" s="2"/>
      <c r="C8" s="6">
        <v>-9017.66</v>
      </c>
    </row>
    <row r="9" spans="1:3" ht="15.75">
      <c r="A9" s="1" t="s">
        <v>4</v>
      </c>
      <c r="B9" s="7">
        <f>C9/12</f>
        <v>48769.670833333337</v>
      </c>
      <c r="C9" s="1">
        <v>585236.05000000005</v>
      </c>
    </row>
    <row r="10" spans="1:3" ht="15.75">
      <c r="A10" s="1" t="s">
        <v>31</v>
      </c>
      <c r="B10" s="7">
        <f t="shared" ref="B10:B28" si="0">C10/12</f>
        <v>8541.3174999999992</v>
      </c>
      <c r="C10" s="1">
        <f>5488.65+97007.16</f>
        <v>102495.81</v>
      </c>
    </row>
    <row r="11" spans="1:3" ht="15.75">
      <c r="A11" s="6" t="s">
        <v>17</v>
      </c>
      <c r="B11" s="7">
        <f t="shared" si="0"/>
        <v>57310.988333333335</v>
      </c>
      <c r="C11" s="6">
        <v>687731.86</v>
      </c>
    </row>
    <row r="12" spans="1:3" ht="15.75">
      <c r="A12" s="1" t="s">
        <v>18</v>
      </c>
      <c r="B12" s="7">
        <f t="shared" si="0"/>
        <v>0</v>
      </c>
      <c r="C12" s="1"/>
    </row>
    <row r="13" spans="1:3" ht="15.75">
      <c r="A13" s="1" t="s">
        <v>25</v>
      </c>
      <c r="B13" s="7">
        <f t="shared" si="0"/>
        <v>14843.448333333334</v>
      </c>
      <c r="C13" s="1">
        <v>178121.38</v>
      </c>
    </row>
    <row r="14" spans="1:3" ht="15.75">
      <c r="A14" s="1" t="s">
        <v>32</v>
      </c>
      <c r="B14" s="7">
        <f t="shared" si="0"/>
        <v>8390.1075000000001</v>
      </c>
      <c r="C14" s="1">
        <v>100681.29</v>
      </c>
    </row>
    <row r="15" spans="1:3" ht="15.75">
      <c r="A15" s="1" t="s">
        <v>5</v>
      </c>
      <c r="B15" s="7">
        <f t="shared" si="0"/>
        <v>0</v>
      </c>
      <c r="C15" s="1"/>
    </row>
    <row r="16" spans="1:3" ht="15.75">
      <c r="A16" s="1" t="s">
        <v>6</v>
      </c>
      <c r="B16" s="7">
        <f t="shared" si="0"/>
        <v>998.75</v>
      </c>
      <c r="C16" s="1">
        <v>11985</v>
      </c>
    </row>
    <row r="17" spans="1:3" ht="15.75">
      <c r="A17" s="1" t="s">
        <v>7</v>
      </c>
      <c r="B17" s="7">
        <f t="shared" si="0"/>
        <v>2135.88</v>
      </c>
      <c r="C17" s="1">
        <v>25630.560000000001</v>
      </c>
    </row>
    <row r="18" spans="1:3" ht="15.75">
      <c r="A18" s="1" t="s">
        <v>8</v>
      </c>
      <c r="B18" s="7">
        <f t="shared" si="0"/>
        <v>115.39</v>
      </c>
      <c r="C18" s="1">
        <v>1384.68</v>
      </c>
    </row>
    <row r="19" spans="1:3" ht="15.75">
      <c r="A19" s="1" t="s">
        <v>9</v>
      </c>
      <c r="B19" s="7">
        <f t="shared" si="0"/>
        <v>0</v>
      </c>
      <c r="C19" s="1"/>
    </row>
    <row r="20" spans="1:3" ht="15.75">
      <c r="A20" s="1" t="s">
        <v>10</v>
      </c>
      <c r="B20" s="7">
        <f t="shared" si="0"/>
        <v>824.35583333333341</v>
      </c>
      <c r="C20" s="1">
        <v>9892.27</v>
      </c>
    </row>
    <row r="21" spans="1:3" ht="15.75">
      <c r="A21" s="1" t="s">
        <v>11</v>
      </c>
      <c r="B21" s="7">
        <f t="shared" si="0"/>
        <v>2442.0558333333333</v>
      </c>
      <c r="C21" s="1">
        <v>29304.67</v>
      </c>
    </row>
    <row r="22" spans="1:3" ht="15.75">
      <c r="A22" s="1" t="s">
        <v>12</v>
      </c>
      <c r="B22" s="7">
        <f t="shared" si="0"/>
        <v>4241.1058333333331</v>
      </c>
      <c r="C22" s="1">
        <v>50893.27</v>
      </c>
    </row>
    <row r="23" spans="1:3" ht="15.75">
      <c r="A23" s="1" t="s">
        <v>13</v>
      </c>
      <c r="B23" s="7">
        <f t="shared" si="0"/>
        <v>560.76750000000004</v>
      </c>
      <c r="C23" s="1">
        <v>6729.21</v>
      </c>
    </row>
    <row r="24" spans="1:3" ht="15.75">
      <c r="A24" s="1" t="s">
        <v>14</v>
      </c>
      <c r="B24" s="7">
        <f t="shared" si="0"/>
        <v>2981.0916666666667</v>
      </c>
      <c r="C24" s="1">
        <v>35773.1</v>
      </c>
    </row>
    <row r="25" spans="1:3" ht="15.75">
      <c r="A25" s="1" t="s">
        <v>29</v>
      </c>
      <c r="B25" s="7">
        <f t="shared" si="0"/>
        <v>334.19583333333333</v>
      </c>
      <c r="C25" s="1">
        <v>4010.35</v>
      </c>
    </row>
    <row r="26" spans="1:3" ht="15.75">
      <c r="A26" s="1" t="s">
        <v>19</v>
      </c>
      <c r="B26" s="7">
        <f t="shared" si="0"/>
        <v>799.91583333333335</v>
      </c>
      <c r="C26" s="1">
        <v>9598.99</v>
      </c>
    </row>
    <row r="27" spans="1:3" ht="15.75">
      <c r="A27" s="1" t="s">
        <v>78</v>
      </c>
      <c r="B27" s="7">
        <f t="shared" si="0"/>
        <v>13877.395833333334</v>
      </c>
      <c r="C27" s="1">
        <v>166528.75</v>
      </c>
    </row>
    <row r="28" spans="1:3" ht="15.75">
      <c r="A28" s="6" t="s">
        <v>79</v>
      </c>
      <c r="B28" s="7">
        <f t="shared" si="0"/>
        <v>52544.46</v>
      </c>
      <c r="C28" s="1">
        <f>SUM(C13:C27)</f>
        <v>630533.52</v>
      </c>
    </row>
    <row r="29" spans="1:3" ht="15.75">
      <c r="A29" s="6" t="s">
        <v>80</v>
      </c>
      <c r="B29" s="7"/>
      <c r="C29" s="6">
        <v>48180.68</v>
      </c>
    </row>
    <row r="30" spans="1:3" ht="15.75">
      <c r="A30" s="6" t="s">
        <v>81</v>
      </c>
      <c r="B30" s="1"/>
      <c r="C30" s="1"/>
    </row>
    <row r="31" spans="1:3" ht="15.75">
      <c r="A31" s="1" t="s">
        <v>33</v>
      </c>
      <c r="B31" s="6">
        <v>19092.39</v>
      </c>
      <c r="C31" s="1"/>
    </row>
    <row r="32" spans="1:3" ht="15.75">
      <c r="A32" s="1" t="s">
        <v>22</v>
      </c>
      <c r="B32" s="1"/>
      <c r="C32" s="1"/>
    </row>
    <row r="33" spans="1:2" ht="15.75">
      <c r="A33" s="1" t="s">
        <v>23</v>
      </c>
    </row>
    <row r="34" spans="1:2" ht="15.75">
      <c r="A34" s="1" t="s">
        <v>82</v>
      </c>
      <c r="B34">
        <v>0</v>
      </c>
    </row>
    <row r="35" spans="1:2" ht="34.5" customHeight="1"/>
    <row r="36" spans="1:2" ht="15.75">
      <c r="A36" s="10" t="s">
        <v>73</v>
      </c>
    </row>
    <row r="37" spans="1:2" ht="34.5" customHeight="1"/>
    <row r="38" spans="1:2">
      <c r="A38" t="s">
        <v>75</v>
      </c>
    </row>
    <row r="39" spans="1:2">
      <c r="A39" t="s">
        <v>74</v>
      </c>
    </row>
    <row r="41" spans="1:2">
      <c r="A41" t="s">
        <v>76</v>
      </c>
    </row>
  </sheetData>
  <pageMargins left="0.7" right="0.7" top="0.75" bottom="0.75" header="0.3" footer="0.3"/>
  <pageSetup paperSize="9" orientation="portrait" verticalDpi="0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C41"/>
  <sheetViews>
    <sheetView workbookViewId="0">
      <selection activeCell="D38" sqref="D38"/>
    </sheetView>
  </sheetViews>
  <sheetFormatPr defaultRowHeight="15"/>
  <cols>
    <col min="1" max="1" width="54" customWidth="1"/>
    <col min="2" max="2" width="13.85546875" customWidth="1"/>
    <col min="3" max="3" width="14.7109375" customWidth="1"/>
  </cols>
  <sheetData>
    <row r="1" spans="1:3" ht="15.75">
      <c r="A1" s="1" t="s">
        <v>0</v>
      </c>
    </row>
    <row r="2" spans="1:3" ht="15.75">
      <c r="A2" s="1" t="s">
        <v>43</v>
      </c>
      <c r="B2" s="1"/>
      <c r="C2" s="1"/>
    </row>
    <row r="3" spans="1:3" ht="15.75">
      <c r="A3" s="1" t="s">
        <v>85</v>
      </c>
      <c r="B3" s="1"/>
      <c r="C3" s="1"/>
    </row>
    <row r="4" spans="1:3" ht="15.75">
      <c r="A4" s="1" t="s">
        <v>28</v>
      </c>
      <c r="B4" s="1"/>
      <c r="C4" s="1"/>
    </row>
    <row r="5" spans="1:3" ht="15.75">
      <c r="A5" s="1" t="s">
        <v>77</v>
      </c>
      <c r="B5" s="1"/>
      <c r="C5" s="1"/>
    </row>
    <row r="6" spans="1:3" ht="15.75">
      <c r="A6" s="1"/>
      <c r="B6" s="1"/>
      <c r="C6" s="1"/>
    </row>
    <row r="7" spans="1:3" ht="15.75">
      <c r="A7" s="1" t="s">
        <v>1</v>
      </c>
      <c r="B7" s="1" t="s">
        <v>2</v>
      </c>
      <c r="C7" s="1" t="s">
        <v>3</v>
      </c>
    </row>
    <row r="8" spans="1:3" ht="15.75">
      <c r="A8" s="1" t="s">
        <v>24</v>
      </c>
      <c r="B8" s="2"/>
      <c r="C8" s="6">
        <v>64767.91</v>
      </c>
    </row>
    <row r="9" spans="1:3" ht="15.75">
      <c r="A9" s="1" t="s">
        <v>4</v>
      </c>
      <c r="B9" s="7">
        <f>C9/12</f>
        <v>49352.319166666661</v>
      </c>
      <c r="C9" s="1">
        <v>592227.82999999996</v>
      </c>
    </row>
    <row r="10" spans="1:3" ht="15.75">
      <c r="A10" s="1" t="s">
        <v>31</v>
      </c>
      <c r="B10" s="7">
        <f t="shared" ref="B10:B28" si="0">C10/12</f>
        <v>5520.3</v>
      </c>
      <c r="C10" s="1">
        <f>9866.55+56377.05</f>
        <v>66243.600000000006</v>
      </c>
    </row>
    <row r="11" spans="1:3" ht="15.75">
      <c r="A11" s="6" t="s">
        <v>17</v>
      </c>
      <c r="B11" s="7">
        <f t="shared" si="0"/>
        <v>54872.619166666671</v>
      </c>
      <c r="C11" s="6">
        <v>658471.43000000005</v>
      </c>
    </row>
    <row r="12" spans="1:3" ht="15.75">
      <c r="A12" s="1" t="s">
        <v>18</v>
      </c>
      <c r="B12" s="7">
        <f t="shared" si="0"/>
        <v>0</v>
      </c>
      <c r="C12" s="1"/>
    </row>
    <row r="13" spans="1:3" ht="15.75">
      <c r="A13" s="1" t="s">
        <v>25</v>
      </c>
      <c r="B13" s="7">
        <f t="shared" si="0"/>
        <v>14245.003333333334</v>
      </c>
      <c r="C13" s="1">
        <v>170940.04</v>
      </c>
    </row>
    <row r="14" spans="1:3" ht="15.75">
      <c r="A14" s="1" t="s">
        <v>32</v>
      </c>
      <c r="B14" s="7">
        <f t="shared" si="0"/>
        <v>9238.5083333333332</v>
      </c>
      <c r="C14" s="1">
        <v>110862.1</v>
      </c>
    </row>
    <row r="15" spans="1:3" ht="15.75">
      <c r="A15" s="1" t="s">
        <v>5</v>
      </c>
      <c r="B15" s="7">
        <f t="shared" si="0"/>
        <v>0</v>
      </c>
      <c r="C15" s="1"/>
    </row>
    <row r="16" spans="1:3" ht="15.75">
      <c r="A16" s="1" t="s">
        <v>6</v>
      </c>
      <c r="B16" s="7">
        <f t="shared" si="0"/>
        <v>5546.916666666667</v>
      </c>
      <c r="C16" s="1">
        <v>66563</v>
      </c>
    </row>
    <row r="17" spans="1:3" ht="15.75">
      <c r="A17" s="1" t="s">
        <v>7</v>
      </c>
      <c r="B17" s="7">
        <f t="shared" si="0"/>
        <v>2084.54</v>
      </c>
      <c r="C17" s="1">
        <v>25014.48</v>
      </c>
    </row>
    <row r="18" spans="1:3" ht="15.75">
      <c r="A18" s="1" t="s">
        <v>8</v>
      </c>
      <c r="B18" s="7">
        <f t="shared" si="0"/>
        <v>189.24</v>
      </c>
      <c r="C18" s="1">
        <v>2270.88</v>
      </c>
    </row>
    <row r="19" spans="1:3" ht="15.75">
      <c r="A19" s="1" t="s">
        <v>9</v>
      </c>
      <c r="B19" s="7">
        <f t="shared" si="0"/>
        <v>0</v>
      </c>
      <c r="C19" s="1"/>
    </row>
    <row r="20" spans="1:3" ht="15.75">
      <c r="A20" s="1" t="s">
        <v>10</v>
      </c>
      <c r="B20" s="7">
        <f t="shared" si="0"/>
        <v>1032.8141666666668</v>
      </c>
      <c r="C20" s="1">
        <v>12393.77</v>
      </c>
    </row>
    <row r="21" spans="1:3" ht="15.75">
      <c r="A21" s="1" t="s">
        <v>11</v>
      </c>
      <c r="B21" s="7">
        <f t="shared" si="0"/>
        <v>2487.7224999999999</v>
      </c>
      <c r="C21" s="1">
        <v>29852.67</v>
      </c>
    </row>
    <row r="22" spans="1:3" ht="15.75">
      <c r="A22" s="1" t="s">
        <v>12</v>
      </c>
      <c r="B22" s="7">
        <f t="shared" si="0"/>
        <v>4070.1175000000003</v>
      </c>
      <c r="C22" s="1">
        <v>48841.41</v>
      </c>
    </row>
    <row r="23" spans="1:3" ht="15.75">
      <c r="A23" s="1" t="s">
        <v>13</v>
      </c>
      <c r="B23" s="7">
        <f t="shared" si="0"/>
        <v>4491.3774999999996</v>
      </c>
      <c r="C23" s="1">
        <v>53896.53</v>
      </c>
    </row>
    <row r="24" spans="1:3" ht="15.75">
      <c r="A24" s="1" t="s">
        <v>14</v>
      </c>
      <c r="B24" s="7">
        <f t="shared" si="0"/>
        <v>2854.2566666666667</v>
      </c>
      <c r="C24" s="1">
        <v>34251.08</v>
      </c>
    </row>
    <row r="25" spans="1:3" ht="15.75">
      <c r="A25" s="1" t="s">
        <v>29</v>
      </c>
      <c r="B25" s="7">
        <f t="shared" si="0"/>
        <v>334.56916666666666</v>
      </c>
      <c r="C25" s="1">
        <v>4014.83</v>
      </c>
    </row>
    <row r="26" spans="1:3" ht="15.75">
      <c r="A26" s="1" t="s">
        <v>19</v>
      </c>
      <c r="B26" s="7">
        <f t="shared" si="0"/>
        <v>602.08333333333337</v>
      </c>
      <c r="C26" s="1">
        <v>7225</v>
      </c>
    </row>
    <row r="27" spans="1:3" ht="15.75">
      <c r="A27" s="1" t="s">
        <v>78</v>
      </c>
      <c r="B27" s="7">
        <f t="shared" si="0"/>
        <v>11957.305833333334</v>
      </c>
      <c r="C27" s="1">
        <v>143487.67000000001</v>
      </c>
    </row>
    <row r="28" spans="1:3" ht="15.75">
      <c r="A28" s="6" t="s">
        <v>79</v>
      </c>
      <c r="B28" s="7">
        <f t="shared" si="0"/>
        <v>59134.454999999994</v>
      </c>
      <c r="C28" s="6">
        <f>SUM(C13:C27)</f>
        <v>709613.46</v>
      </c>
    </row>
    <row r="29" spans="1:3" ht="15.75">
      <c r="A29" s="6" t="s">
        <v>80</v>
      </c>
      <c r="B29" s="7"/>
      <c r="C29" s="6">
        <v>13625.88</v>
      </c>
    </row>
    <row r="30" spans="1:3" ht="15.75">
      <c r="A30" s="6" t="s">
        <v>81</v>
      </c>
      <c r="B30" s="1"/>
      <c r="C30" s="1"/>
    </row>
    <row r="31" spans="1:3" ht="15.75">
      <c r="A31" s="1" t="s">
        <v>33</v>
      </c>
      <c r="B31" s="6">
        <v>171301.26</v>
      </c>
      <c r="C31" s="1"/>
    </row>
    <row r="32" spans="1:3" ht="15.75">
      <c r="A32" s="1" t="s">
        <v>22</v>
      </c>
      <c r="B32" s="1"/>
      <c r="C32" s="1"/>
    </row>
    <row r="33" spans="1:2" ht="15.75">
      <c r="A33" s="1" t="s">
        <v>23</v>
      </c>
    </row>
    <row r="34" spans="1:2" ht="18.75">
      <c r="A34" s="1" t="s">
        <v>137</v>
      </c>
      <c r="B34" s="14">
        <v>0</v>
      </c>
    </row>
    <row r="35" spans="1:2" ht="27.75" customHeight="1">
      <c r="B35" s="14"/>
    </row>
    <row r="36" spans="1:2" ht="15.75">
      <c r="A36" s="10" t="s">
        <v>73</v>
      </c>
    </row>
    <row r="37" spans="1:2" ht="20.25" customHeight="1"/>
    <row r="38" spans="1:2">
      <c r="A38" t="s">
        <v>75</v>
      </c>
    </row>
    <row r="39" spans="1:2">
      <c r="A39" t="s">
        <v>74</v>
      </c>
    </row>
    <row r="41" spans="1:2">
      <c r="A41" t="s">
        <v>76</v>
      </c>
    </row>
  </sheetData>
  <pageMargins left="0.7" right="0.7" top="0.75" bottom="0.75" header="0.3" footer="0.3"/>
  <pageSetup paperSize="9" orientation="portrait" verticalDpi="0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C41"/>
  <sheetViews>
    <sheetView workbookViewId="0">
      <selection activeCell="B34" sqref="B34"/>
    </sheetView>
  </sheetViews>
  <sheetFormatPr defaultRowHeight="15"/>
  <cols>
    <col min="1" max="1" width="53.28515625" customWidth="1"/>
    <col min="2" max="2" width="14.7109375" customWidth="1"/>
    <col min="3" max="3" width="14.42578125" customWidth="1"/>
  </cols>
  <sheetData>
    <row r="1" spans="1:3" ht="15.75">
      <c r="A1" s="1" t="s">
        <v>0</v>
      </c>
    </row>
    <row r="2" spans="1:3" ht="15.75">
      <c r="A2" s="1" t="s">
        <v>44</v>
      </c>
      <c r="B2" s="1"/>
      <c r="C2" s="1"/>
    </row>
    <row r="3" spans="1:3" ht="15.75">
      <c r="A3" s="1" t="s">
        <v>85</v>
      </c>
      <c r="B3" s="1"/>
      <c r="C3" s="1"/>
    </row>
    <row r="4" spans="1:3" ht="15.75">
      <c r="A4" s="1" t="s">
        <v>28</v>
      </c>
      <c r="B4" s="1"/>
      <c r="C4" s="1"/>
    </row>
    <row r="5" spans="1:3" ht="15.75">
      <c r="A5" s="1" t="s">
        <v>77</v>
      </c>
      <c r="B5" s="1"/>
      <c r="C5" s="1"/>
    </row>
    <row r="6" spans="1:3" ht="15.75">
      <c r="A6" s="1"/>
      <c r="B6" s="1"/>
      <c r="C6" s="1"/>
    </row>
    <row r="7" spans="1:3" ht="15.75">
      <c r="A7" s="1" t="s">
        <v>1</v>
      </c>
      <c r="B7" s="1" t="s">
        <v>2</v>
      </c>
      <c r="C7" s="1" t="s">
        <v>3</v>
      </c>
    </row>
    <row r="8" spans="1:3" ht="15.75">
      <c r="A8" s="1" t="s">
        <v>138</v>
      </c>
      <c r="B8" s="2"/>
      <c r="C8" s="6">
        <v>-5948.76</v>
      </c>
    </row>
    <row r="9" spans="1:3" ht="15.75">
      <c r="A9" s="1" t="s">
        <v>4</v>
      </c>
      <c r="B9" s="7">
        <f>C9/12</f>
        <v>37642.780833333331</v>
      </c>
      <c r="C9" s="1">
        <v>451713.37</v>
      </c>
    </row>
    <row r="10" spans="1:3" ht="15.75">
      <c r="A10" s="1" t="s">
        <v>31</v>
      </c>
      <c r="B10" s="7">
        <f t="shared" ref="B10:B28" si="0">C10/12</f>
        <v>1000.8333333333334</v>
      </c>
      <c r="C10" s="1">
        <v>12010</v>
      </c>
    </row>
    <row r="11" spans="1:3" ht="15.75">
      <c r="A11" s="6" t="s">
        <v>17</v>
      </c>
      <c r="B11" s="7">
        <f t="shared" si="0"/>
        <v>38643.614166666666</v>
      </c>
      <c r="C11" s="6">
        <v>463723.37</v>
      </c>
    </row>
    <row r="12" spans="1:3" ht="15.75">
      <c r="A12" s="1" t="s">
        <v>18</v>
      </c>
      <c r="B12" s="7">
        <f t="shared" si="0"/>
        <v>0</v>
      </c>
      <c r="C12" s="1"/>
    </row>
    <row r="13" spans="1:3" ht="15.75">
      <c r="A13" s="1" t="s">
        <v>25</v>
      </c>
      <c r="B13" s="7">
        <f t="shared" si="0"/>
        <v>9916</v>
      </c>
      <c r="C13" s="1">
        <v>118992</v>
      </c>
    </row>
    <row r="14" spans="1:3" ht="15.75">
      <c r="A14" s="1" t="s">
        <v>32</v>
      </c>
      <c r="B14" s="7">
        <f t="shared" si="0"/>
        <v>8875.7824999999993</v>
      </c>
      <c r="C14" s="1">
        <v>106509.39</v>
      </c>
    </row>
    <row r="15" spans="1:3" ht="15.75">
      <c r="A15" s="1" t="s">
        <v>5</v>
      </c>
      <c r="B15" s="7">
        <f t="shared" si="0"/>
        <v>0</v>
      </c>
      <c r="C15" s="1"/>
    </row>
    <row r="16" spans="1:3" ht="15.75">
      <c r="A16" s="1" t="s">
        <v>6</v>
      </c>
      <c r="B16" s="7">
        <f t="shared" si="0"/>
        <v>770.83333333333337</v>
      </c>
      <c r="C16" s="1">
        <v>9250</v>
      </c>
    </row>
    <row r="17" spans="1:3" ht="15.75">
      <c r="A17" s="1" t="s">
        <v>7</v>
      </c>
      <c r="B17" s="7">
        <f t="shared" si="0"/>
        <v>1405.6450000000002</v>
      </c>
      <c r="C17" s="1">
        <v>16867.740000000002</v>
      </c>
    </row>
    <row r="18" spans="1:3" ht="15.75">
      <c r="A18" s="1" t="s">
        <v>8</v>
      </c>
      <c r="B18" s="7">
        <f t="shared" si="0"/>
        <v>137.58000000000001</v>
      </c>
      <c r="C18" s="1">
        <v>1650.96</v>
      </c>
    </row>
    <row r="19" spans="1:3" ht="15.75">
      <c r="A19" s="1" t="s">
        <v>9</v>
      </c>
      <c r="B19" s="7">
        <f t="shared" si="0"/>
        <v>0</v>
      </c>
      <c r="C19" s="1"/>
    </row>
    <row r="20" spans="1:3" ht="15.75">
      <c r="A20" s="1" t="s">
        <v>10</v>
      </c>
      <c r="B20" s="7">
        <f t="shared" si="0"/>
        <v>767.50416666666661</v>
      </c>
      <c r="C20" s="1">
        <v>9210.0499999999993</v>
      </c>
    </row>
    <row r="21" spans="1:3" ht="15.75">
      <c r="A21" s="1" t="s">
        <v>11</v>
      </c>
      <c r="B21" s="7">
        <f t="shared" si="0"/>
        <v>1871.6666666666667</v>
      </c>
      <c r="C21" s="1">
        <v>22460</v>
      </c>
    </row>
    <row r="22" spans="1:3" ht="15.75">
      <c r="A22" s="1" t="s">
        <v>12</v>
      </c>
      <c r="B22" s="7">
        <f t="shared" si="0"/>
        <v>2833.2233333333334</v>
      </c>
      <c r="C22" s="1">
        <v>33998.68</v>
      </c>
    </row>
    <row r="23" spans="1:3" ht="15.75">
      <c r="A23" s="1" t="s">
        <v>13</v>
      </c>
      <c r="B23" s="7">
        <f t="shared" si="0"/>
        <v>550.53083333333336</v>
      </c>
      <c r="C23" s="1">
        <v>6606.37</v>
      </c>
    </row>
    <row r="24" spans="1:3" ht="15.75">
      <c r="A24" s="1" t="s">
        <v>14</v>
      </c>
      <c r="B24" s="7">
        <f t="shared" si="0"/>
        <v>2010.0883333333334</v>
      </c>
      <c r="C24" s="1">
        <v>24121.06</v>
      </c>
    </row>
    <row r="25" spans="1:3" ht="15.75">
      <c r="A25" s="1" t="s">
        <v>29</v>
      </c>
      <c r="B25" s="7">
        <f t="shared" si="0"/>
        <v>224.98083333333332</v>
      </c>
      <c r="C25" s="1">
        <v>2699.77</v>
      </c>
    </row>
    <row r="26" spans="1:3" ht="15.75">
      <c r="A26" s="1" t="s">
        <v>19</v>
      </c>
      <c r="B26" s="7">
        <f t="shared" si="0"/>
        <v>488.39166666666665</v>
      </c>
      <c r="C26" s="1">
        <v>5860.7</v>
      </c>
    </row>
    <row r="27" spans="1:3" ht="15.75">
      <c r="A27" s="1" t="s">
        <v>78</v>
      </c>
      <c r="B27" s="7">
        <f t="shared" si="0"/>
        <v>9037.8041666666668</v>
      </c>
      <c r="C27" s="1">
        <v>108453.65</v>
      </c>
    </row>
    <row r="28" spans="1:3" ht="15.75">
      <c r="A28" s="6" t="s">
        <v>79</v>
      </c>
      <c r="B28" s="7">
        <f t="shared" si="0"/>
        <v>38890.030833333331</v>
      </c>
      <c r="C28" s="6">
        <f>SUM(C13:C27)</f>
        <v>466680.37</v>
      </c>
    </row>
    <row r="29" spans="1:3" ht="15.75">
      <c r="A29" s="1" t="s">
        <v>80</v>
      </c>
      <c r="B29" s="7"/>
      <c r="C29" s="1"/>
    </row>
    <row r="30" spans="1:3" ht="15.75">
      <c r="A30" s="6" t="s">
        <v>81</v>
      </c>
      <c r="B30" s="1"/>
      <c r="C30" s="6">
        <v>8905.76</v>
      </c>
    </row>
    <row r="31" spans="1:3" ht="15.75">
      <c r="A31" s="1" t="s">
        <v>33</v>
      </c>
      <c r="B31" s="6">
        <v>95915.53</v>
      </c>
      <c r="C31" s="1"/>
    </row>
    <row r="32" spans="1:3" ht="15.75">
      <c r="A32" s="1" t="s">
        <v>22</v>
      </c>
      <c r="B32" s="1"/>
      <c r="C32" s="1"/>
    </row>
    <row r="33" spans="1:2" ht="15.75">
      <c r="A33" s="1" t="s">
        <v>23</v>
      </c>
    </row>
    <row r="34" spans="1:2" ht="18.75">
      <c r="A34" s="1" t="s">
        <v>137</v>
      </c>
      <c r="B34" s="14">
        <v>13767.44</v>
      </c>
    </row>
    <row r="35" spans="1:2" ht="29.25" customHeight="1"/>
    <row r="36" spans="1:2" ht="15.75">
      <c r="A36" s="10" t="s">
        <v>73</v>
      </c>
    </row>
    <row r="37" spans="1:2" ht="23.25" customHeight="1"/>
    <row r="38" spans="1:2">
      <c r="A38" t="s">
        <v>75</v>
      </c>
    </row>
    <row r="39" spans="1:2">
      <c r="A39" t="s">
        <v>74</v>
      </c>
    </row>
    <row r="41" spans="1:2">
      <c r="A41" t="s">
        <v>76</v>
      </c>
    </row>
  </sheetData>
  <pageMargins left="0.7" right="0.7" top="0.75" bottom="0.75" header="0.3" footer="0.3"/>
  <pageSetup paperSize="9" orientation="portrait" verticalDpi="0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C41"/>
  <sheetViews>
    <sheetView topLeftCell="A25" workbookViewId="0">
      <selection activeCell="D35" sqref="D35"/>
    </sheetView>
  </sheetViews>
  <sheetFormatPr defaultRowHeight="15"/>
  <cols>
    <col min="1" max="1" width="56.7109375" customWidth="1"/>
    <col min="2" max="3" width="14.5703125" customWidth="1"/>
  </cols>
  <sheetData>
    <row r="1" spans="1:3" ht="15.75">
      <c r="A1" s="1" t="s">
        <v>0</v>
      </c>
    </row>
    <row r="2" spans="1:3" ht="15.75">
      <c r="A2" s="1" t="s">
        <v>89</v>
      </c>
      <c r="B2" s="1"/>
      <c r="C2" s="1"/>
    </row>
    <row r="3" spans="1:3" ht="15.75">
      <c r="A3" s="1" t="s">
        <v>85</v>
      </c>
      <c r="B3" s="1"/>
      <c r="C3" s="1"/>
    </row>
    <row r="4" spans="1:3" ht="15.75">
      <c r="A4" s="1" t="s">
        <v>28</v>
      </c>
      <c r="B4" s="1"/>
      <c r="C4" s="1"/>
    </row>
    <row r="5" spans="1:3" ht="15.75">
      <c r="A5" s="1" t="s">
        <v>77</v>
      </c>
      <c r="B5" s="1"/>
      <c r="C5" s="1"/>
    </row>
    <row r="6" spans="1:3" ht="15.75">
      <c r="A6" s="1"/>
      <c r="B6" s="1"/>
      <c r="C6" s="1"/>
    </row>
    <row r="7" spans="1:3" ht="15.75">
      <c r="A7" s="1" t="s">
        <v>1</v>
      </c>
      <c r="B7" s="1" t="s">
        <v>2</v>
      </c>
      <c r="C7" s="1" t="s">
        <v>3</v>
      </c>
    </row>
    <row r="8" spans="1:3" ht="15.75">
      <c r="A8" s="6" t="s">
        <v>24</v>
      </c>
      <c r="B8" s="2"/>
      <c r="C8" s="6">
        <v>-8181.45</v>
      </c>
    </row>
    <row r="9" spans="1:3" ht="15.75">
      <c r="A9" s="1" t="s">
        <v>4</v>
      </c>
      <c r="B9" s="7">
        <f>C9/12</f>
        <v>37198.636666666665</v>
      </c>
      <c r="C9" s="1">
        <v>446383.64</v>
      </c>
    </row>
    <row r="10" spans="1:3" ht="15.75">
      <c r="A10" s="1" t="s">
        <v>31</v>
      </c>
      <c r="B10" s="7">
        <f t="shared" ref="B10:B28" si="0">C10/12</f>
        <v>1200.8333333333333</v>
      </c>
      <c r="C10" s="1">
        <v>14410</v>
      </c>
    </row>
    <row r="11" spans="1:3" ht="15.75">
      <c r="A11" s="6" t="s">
        <v>17</v>
      </c>
      <c r="B11" s="7">
        <f t="shared" si="0"/>
        <v>38399.47</v>
      </c>
      <c r="C11" s="6">
        <v>460793.64</v>
      </c>
    </row>
    <row r="12" spans="1:3" ht="15.75">
      <c r="A12" s="1" t="s">
        <v>18</v>
      </c>
      <c r="B12" s="7">
        <f t="shared" si="0"/>
        <v>0</v>
      </c>
      <c r="C12" s="1"/>
    </row>
    <row r="13" spans="1:3" ht="15.75">
      <c r="A13" s="1" t="s">
        <v>25</v>
      </c>
      <c r="B13" s="7">
        <f t="shared" si="0"/>
        <v>9961.56</v>
      </c>
      <c r="C13" s="1">
        <v>119538.72</v>
      </c>
    </row>
    <row r="14" spans="1:3" ht="15.75">
      <c r="A14" s="1" t="s">
        <v>32</v>
      </c>
      <c r="B14" s="7">
        <f t="shared" si="0"/>
        <v>8044.8566666666666</v>
      </c>
      <c r="C14" s="1">
        <v>96538.28</v>
      </c>
    </row>
    <row r="15" spans="1:3" ht="15.75">
      <c r="A15" s="1" t="s">
        <v>5</v>
      </c>
      <c r="B15" s="7">
        <f t="shared" si="0"/>
        <v>0</v>
      </c>
      <c r="C15" s="1"/>
    </row>
    <row r="16" spans="1:3" ht="15.75">
      <c r="A16" s="1" t="s">
        <v>6</v>
      </c>
      <c r="B16" s="7">
        <f t="shared" si="0"/>
        <v>1469.5833333333333</v>
      </c>
      <c r="C16" s="1">
        <v>17635</v>
      </c>
    </row>
    <row r="17" spans="1:3" ht="15.75">
      <c r="A17" s="1" t="s">
        <v>7</v>
      </c>
      <c r="B17" s="7">
        <f t="shared" si="0"/>
        <v>1417.2049999999999</v>
      </c>
      <c r="C17" s="1">
        <v>17006.46</v>
      </c>
    </row>
    <row r="18" spans="1:3" ht="15.75">
      <c r="A18" s="1" t="s">
        <v>8</v>
      </c>
      <c r="B18" s="7">
        <f t="shared" si="0"/>
        <v>129.72999999999999</v>
      </c>
      <c r="C18" s="1">
        <v>1556.76</v>
      </c>
    </row>
    <row r="19" spans="1:3" ht="15.75">
      <c r="A19" s="1" t="s">
        <v>9</v>
      </c>
      <c r="B19" s="7">
        <f t="shared" si="0"/>
        <v>0</v>
      </c>
      <c r="C19" s="1"/>
    </row>
    <row r="20" spans="1:3" ht="15.75">
      <c r="A20" s="1" t="s">
        <v>10</v>
      </c>
      <c r="B20" s="7">
        <f t="shared" si="0"/>
        <v>758.02833333333331</v>
      </c>
      <c r="C20" s="1">
        <v>9096.34</v>
      </c>
    </row>
    <row r="21" spans="1:3" ht="15.75">
      <c r="A21" s="1" t="s">
        <v>11</v>
      </c>
      <c r="B21" s="7">
        <f t="shared" si="0"/>
        <v>1848.915</v>
      </c>
      <c r="C21" s="1">
        <v>22186.98</v>
      </c>
    </row>
    <row r="22" spans="1:3" ht="15.75">
      <c r="A22" s="1" t="s">
        <v>12</v>
      </c>
      <c r="B22" s="7">
        <f t="shared" si="0"/>
        <v>2846.2408333333333</v>
      </c>
      <c r="C22" s="1">
        <v>34154.89</v>
      </c>
    </row>
    <row r="23" spans="1:3" ht="15.75">
      <c r="A23" s="1" t="s">
        <v>13</v>
      </c>
      <c r="B23" s="7">
        <f t="shared" si="0"/>
        <v>573.64083333333326</v>
      </c>
      <c r="C23" s="1">
        <v>6883.69</v>
      </c>
    </row>
    <row r="24" spans="1:3" ht="15.75">
      <c r="A24" s="1" t="s">
        <v>14</v>
      </c>
      <c r="B24" s="7">
        <f t="shared" si="0"/>
        <v>1997.3891666666666</v>
      </c>
      <c r="C24" s="1">
        <v>23968.67</v>
      </c>
    </row>
    <row r="25" spans="1:3" ht="15.75">
      <c r="A25" s="1" t="s">
        <v>29</v>
      </c>
      <c r="B25" s="7">
        <f t="shared" si="0"/>
        <v>225.16499999999999</v>
      </c>
      <c r="C25" s="1">
        <v>2701.98</v>
      </c>
    </row>
    <row r="26" spans="1:3" ht="15.75">
      <c r="A26" s="1" t="s">
        <v>19</v>
      </c>
      <c r="B26" s="7">
        <f t="shared" si="0"/>
        <v>155.26250000000002</v>
      </c>
      <c r="C26" s="1">
        <v>1863.15</v>
      </c>
    </row>
    <row r="27" spans="1:3" ht="15.75">
      <c r="A27" s="1" t="s">
        <v>78</v>
      </c>
      <c r="B27" s="7">
        <f t="shared" si="0"/>
        <v>9110.7708333333339</v>
      </c>
      <c r="C27" s="1">
        <v>109329.25</v>
      </c>
    </row>
    <row r="28" spans="1:3" ht="15.75">
      <c r="A28" s="6" t="s">
        <v>79</v>
      </c>
      <c r="B28" s="7">
        <f t="shared" si="0"/>
        <v>38538.347499999996</v>
      </c>
      <c r="C28" s="6">
        <v>462460.17</v>
      </c>
    </row>
    <row r="29" spans="1:3" ht="15.75">
      <c r="A29" s="1" t="s">
        <v>80</v>
      </c>
      <c r="B29" s="7"/>
      <c r="C29" s="1"/>
    </row>
    <row r="30" spans="1:3" ht="15.75">
      <c r="A30" s="6" t="s">
        <v>81</v>
      </c>
      <c r="B30" s="1"/>
      <c r="C30" s="6">
        <v>9847.98</v>
      </c>
    </row>
    <row r="31" spans="1:3" ht="15.75">
      <c r="A31" s="1" t="s">
        <v>33</v>
      </c>
      <c r="B31" s="6">
        <v>159073.29</v>
      </c>
      <c r="C31" s="1"/>
    </row>
    <row r="32" spans="1:3" ht="15.75">
      <c r="A32" s="1" t="s">
        <v>22</v>
      </c>
      <c r="B32" s="1"/>
      <c r="C32" s="1"/>
    </row>
    <row r="33" spans="1:2" ht="15.75">
      <c r="A33" s="1" t="s">
        <v>23</v>
      </c>
    </row>
    <row r="34" spans="1:2" ht="18.75">
      <c r="A34" s="1" t="s">
        <v>145</v>
      </c>
      <c r="B34" s="14">
        <v>0</v>
      </c>
    </row>
    <row r="35" spans="1:2" ht="25.5" customHeight="1"/>
    <row r="36" spans="1:2" ht="15.75">
      <c r="A36" s="10" t="s">
        <v>73</v>
      </c>
    </row>
    <row r="37" spans="1:2" ht="24.75" customHeight="1"/>
    <row r="38" spans="1:2">
      <c r="A38" t="s">
        <v>75</v>
      </c>
    </row>
    <row r="39" spans="1:2" ht="21" customHeight="1">
      <c r="A39" t="s">
        <v>74</v>
      </c>
    </row>
    <row r="41" spans="1:2">
      <c r="A41" t="s">
        <v>76</v>
      </c>
    </row>
  </sheetData>
  <pageMargins left="0.7" right="0.7" top="0.75" bottom="0.75" header="0.3" footer="0.3"/>
  <pageSetup paperSize="9" orientation="portrait" verticalDpi="0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E41"/>
  <sheetViews>
    <sheetView topLeftCell="A15" workbookViewId="0">
      <selection activeCell="B34" sqref="B34"/>
    </sheetView>
  </sheetViews>
  <sheetFormatPr defaultRowHeight="15"/>
  <cols>
    <col min="1" max="1" width="53.42578125" customWidth="1"/>
    <col min="2" max="2" width="13.7109375" customWidth="1"/>
    <col min="3" max="3" width="15.28515625" customWidth="1"/>
  </cols>
  <sheetData>
    <row r="1" spans="1:5" ht="15.75">
      <c r="A1" s="1" t="s">
        <v>0</v>
      </c>
    </row>
    <row r="2" spans="1:5" ht="15.75">
      <c r="A2" s="1" t="s">
        <v>45</v>
      </c>
      <c r="B2" s="1"/>
      <c r="C2" s="1"/>
    </row>
    <row r="3" spans="1:5" ht="15.75">
      <c r="A3" s="1" t="s">
        <v>85</v>
      </c>
      <c r="B3" s="1"/>
      <c r="C3" s="1"/>
    </row>
    <row r="4" spans="1:5" ht="15.75">
      <c r="A4" s="1" t="s">
        <v>28</v>
      </c>
      <c r="B4" s="1"/>
      <c r="C4" s="1"/>
    </row>
    <row r="5" spans="1:5" ht="15.75">
      <c r="A5" s="1" t="s">
        <v>77</v>
      </c>
      <c r="B5" s="1"/>
      <c r="C5" s="1"/>
    </row>
    <row r="6" spans="1:5" ht="15.75">
      <c r="A6" s="1"/>
      <c r="B6" s="1"/>
      <c r="C6" s="1"/>
    </row>
    <row r="7" spans="1:5" ht="15.75">
      <c r="A7" s="1" t="s">
        <v>1</v>
      </c>
      <c r="B7" s="1" t="s">
        <v>2</v>
      </c>
      <c r="C7" s="1" t="s">
        <v>3</v>
      </c>
    </row>
    <row r="8" spans="1:5" ht="15.75">
      <c r="A8" s="1" t="s">
        <v>24</v>
      </c>
      <c r="B8" s="2"/>
      <c r="C8" s="6">
        <v>-8947.1</v>
      </c>
      <c r="E8" t="s">
        <v>143</v>
      </c>
    </row>
    <row r="9" spans="1:5" ht="15.75">
      <c r="A9" s="1" t="s">
        <v>4</v>
      </c>
      <c r="B9" s="7">
        <f>C9/12</f>
        <v>36940.739166666666</v>
      </c>
      <c r="C9" s="1">
        <v>443288.87</v>
      </c>
    </row>
    <row r="10" spans="1:5" ht="15.75">
      <c r="A10" s="1" t="s">
        <v>31</v>
      </c>
      <c r="B10" s="7">
        <f t="shared" ref="B10:B28" si="0">C10/12</f>
        <v>833.33333333333337</v>
      </c>
      <c r="C10" s="1">
        <v>10000</v>
      </c>
    </row>
    <row r="11" spans="1:5" ht="15.75">
      <c r="A11" s="1" t="s">
        <v>17</v>
      </c>
      <c r="B11" s="7">
        <f t="shared" si="0"/>
        <v>37769.072500000002</v>
      </c>
      <c r="C11" s="6">
        <v>453228.87</v>
      </c>
    </row>
    <row r="12" spans="1:5" ht="15.75">
      <c r="A12" s="1" t="s">
        <v>18</v>
      </c>
      <c r="B12" s="7">
        <f t="shared" si="0"/>
        <v>0</v>
      </c>
      <c r="C12" s="1"/>
    </row>
    <row r="13" spans="1:5" ht="15.75">
      <c r="A13" s="1" t="s">
        <v>25</v>
      </c>
      <c r="B13" s="7">
        <f t="shared" si="0"/>
        <v>9938.5116666666672</v>
      </c>
      <c r="C13" s="1">
        <v>119262.14</v>
      </c>
    </row>
    <row r="14" spans="1:5" ht="15.75">
      <c r="A14" s="1" t="s">
        <v>32</v>
      </c>
      <c r="B14" s="7">
        <f t="shared" si="0"/>
        <v>9679.8083333333325</v>
      </c>
      <c r="C14" s="1">
        <v>116157.7</v>
      </c>
    </row>
    <row r="15" spans="1:5" ht="15.75">
      <c r="A15" s="1" t="s">
        <v>5</v>
      </c>
      <c r="B15" s="7">
        <f t="shared" si="0"/>
        <v>0</v>
      </c>
      <c r="C15" s="1"/>
    </row>
    <row r="16" spans="1:5" ht="15.75">
      <c r="A16" s="1" t="s">
        <v>6</v>
      </c>
      <c r="B16" s="7">
        <f t="shared" si="0"/>
        <v>1074.5</v>
      </c>
      <c r="C16" s="1">
        <v>12894</v>
      </c>
    </row>
    <row r="17" spans="1:3" ht="15.75">
      <c r="A17" s="1" t="s">
        <v>7</v>
      </c>
      <c r="B17" s="7">
        <f t="shared" si="0"/>
        <v>1381.125</v>
      </c>
      <c r="C17" s="1">
        <v>16573.5</v>
      </c>
    </row>
    <row r="18" spans="1:3" ht="15.75">
      <c r="A18" s="1" t="s">
        <v>8</v>
      </c>
      <c r="B18" s="7">
        <f t="shared" si="0"/>
        <v>143.04999999999998</v>
      </c>
      <c r="C18" s="1">
        <v>1716.6</v>
      </c>
    </row>
    <row r="19" spans="1:3" ht="15.75">
      <c r="A19" s="1" t="s">
        <v>9</v>
      </c>
      <c r="B19" s="7">
        <f t="shared" si="0"/>
        <v>0</v>
      </c>
      <c r="C19" s="1"/>
    </row>
    <row r="20" spans="1:3" ht="15.75">
      <c r="A20" s="1" t="s">
        <v>10</v>
      </c>
      <c r="B20" s="7">
        <f t="shared" si="0"/>
        <v>1137.0433333333333</v>
      </c>
      <c r="C20" s="1">
        <v>13644.52</v>
      </c>
    </row>
    <row r="21" spans="1:3" ht="15.75">
      <c r="A21" s="1" t="s">
        <v>11</v>
      </c>
      <c r="B21" s="7">
        <f t="shared" si="0"/>
        <v>1838.5900000000001</v>
      </c>
      <c r="C21" s="1">
        <v>22063.08</v>
      </c>
    </row>
    <row r="22" spans="1:3" ht="15.75">
      <c r="A22" s="1" t="s">
        <v>12</v>
      </c>
      <c r="B22" s="7">
        <f t="shared" si="0"/>
        <v>2839.6558333333337</v>
      </c>
      <c r="C22" s="1">
        <v>34075.870000000003</v>
      </c>
    </row>
    <row r="23" spans="1:3" ht="15.75">
      <c r="A23" s="1" t="s">
        <v>13</v>
      </c>
      <c r="B23" s="7">
        <f t="shared" si="0"/>
        <v>867.47749999999996</v>
      </c>
      <c r="C23" s="1">
        <v>10409.73</v>
      </c>
    </row>
    <row r="24" spans="1:3" ht="15.75">
      <c r="A24" s="1" t="s">
        <v>14</v>
      </c>
      <c r="B24" s="7">
        <f t="shared" si="0"/>
        <v>1964.8583333333333</v>
      </c>
      <c r="C24" s="1">
        <v>23578.3</v>
      </c>
    </row>
    <row r="25" spans="1:3" ht="15.75">
      <c r="A25" s="1" t="s">
        <v>29</v>
      </c>
      <c r="B25" s="7">
        <f t="shared" si="0"/>
        <v>167.05916666666667</v>
      </c>
      <c r="C25" s="1">
        <v>2004.71</v>
      </c>
    </row>
    <row r="26" spans="1:3" ht="15.75">
      <c r="A26" s="1" t="s">
        <v>19</v>
      </c>
      <c r="B26" s="7">
        <f t="shared" si="0"/>
        <v>708.33333333333337</v>
      </c>
      <c r="C26" s="1">
        <v>8500</v>
      </c>
    </row>
    <row r="27" spans="1:3" ht="15.75">
      <c r="A27" s="1" t="s">
        <v>78</v>
      </c>
      <c r="B27" s="7">
        <f t="shared" si="0"/>
        <v>8880.9383333333335</v>
      </c>
      <c r="C27" s="1">
        <v>106571.26</v>
      </c>
    </row>
    <row r="28" spans="1:3" ht="15.75">
      <c r="A28" s="1" t="s">
        <v>79</v>
      </c>
      <c r="B28" s="7">
        <f t="shared" si="0"/>
        <v>40620.950833333329</v>
      </c>
      <c r="C28" s="6">
        <v>487451.41</v>
      </c>
    </row>
    <row r="29" spans="1:3" ht="15.75">
      <c r="A29" s="1" t="s">
        <v>80</v>
      </c>
      <c r="B29" s="7"/>
      <c r="C29" s="1"/>
    </row>
    <row r="30" spans="1:3" ht="15.75">
      <c r="A30" s="1" t="s">
        <v>81</v>
      </c>
      <c r="B30" s="1"/>
      <c r="C30" s="6">
        <v>43169.64</v>
      </c>
    </row>
    <row r="31" spans="1:3" ht="15.75">
      <c r="A31" s="1" t="s">
        <v>33</v>
      </c>
      <c r="B31" s="6">
        <v>173502.3</v>
      </c>
      <c r="C31" s="1"/>
    </row>
    <row r="32" spans="1:3" ht="15.75">
      <c r="A32" s="1" t="s">
        <v>22</v>
      </c>
      <c r="B32" s="1"/>
      <c r="C32" s="1"/>
    </row>
    <row r="33" spans="1:2" ht="15.75">
      <c r="A33" s="1" t="s">
        <v>23</v>
      </c>
    </row>
    <row r="34" spans="1:2" ht="15.75">
      <c r="A34" s="1" t="s">
        <v>82</v>
      </c>
      <c r="B34" s="4">
        <v>3330.9</v>
      </c>
    </row>
    <row r="36" spans="1:2" ht="15.75">
      <c r="A36" s="10" t="s">
        <v>73</v>
      </c>
    </row>
    <row r="38" spans="1:2">
      <c r="A38" t="s">
        <v>75</v>
      </c>
    </row>
    <row r="39" spans="1:2">
      <c r="A39" t="s">
        <v>74</v>
      </c>
    </row>
    <row r="41" spans="1:2">
      <c r="A41" t="s">
        <v>76</v>
      </c>
    </row>
  </sheetData>
  <pageMargins left="0.7" right="0.7" top="0.75" bottom="0.75" header="0.3" footer="0.3"/>
  <pageSetup paperSize="9" orientation="portrait" verticalDpi="0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C41"/>
  <sheetViews>
    <sheetView workbookViewId="0">
      <selection activeCell="B34" sqref="B34"/>
    </sheetView>
  </sheetViews>
  <sheetFormatPr defaultRowHeight="15"/>
  <cols>
    <col min="1" max="1" width="53.140625" customWidth="1"/>
    <col min="2" max="2" width="14.42578125" customWidth="1"/>
    <col min="3" max="3" width="15.28515625" customWidth="1"/>
  </cols>
  <sheetData>
    <row r="1" spans="1:3" ht="15.75">
      <c r="A1" s="1" t="s">
        <v>0</v>
      </c>
    </row>
    <row r="2" spans="1:3" ht="15.75">
      <c r="A2" s="1" t="s">
        <v>46</v>
      </c>
      <c r="B2" s="1"/>
      <c r="C2" s="1"/>
    </row>
    <row r="3" spans="1:3" ht="15.75">
      <c r="A3" s="1" t="s">
        <v>85</v>
      </c>
      <c r="B3" s="1"/>
      <c r="C3" s="1"/>
    </row>
    <row r="4" spans="1:3" ht="15.75">
      <c r="A4" s="1" t="s">
        <v>28</v>
      </c>
      <c r="B4" s="1"/>
      <c r="C4" s="1"/>
    </row>
    <row r="5" spans="1:3" ht="15.75">
      <c r="A5" s="1" t="s">
        <v>77</v>
      </c>
      <c r="B5" s="1"/>
      <c r="C5" s="1"/>
    </row>
    <row r="6" spans="1:3" ht="15.75">
      <c r="A6" s="1"/>
      <c r="B6" s="1"/>
      <c r="C6" s="1"/>
    </row>
    <row r="7" spans="1:3" ht="15.75">
      <c r="A7" s="1" t="s">
        <v>1</v>
      </c>
      <c r="B7" s="1" t="s">
        <v>2</v>
      </c>
      <c r="C7" s="1" t="s">
        <v>3</v>
      </c>
    </row>
    <row r="8" spans="1:3" ht="15.75">
      <c r="A8" s="1" t="s">
        <v>24</v>
      </c>
      <c r="B8" s="2"/>
      <c r="C8" s="1">
        <v>-20341.099999999999</v>
      </c>
    </row>
    <row r="9" spans="1:3" ht="15.75">
      <c r="A9" s="1" t="s">
        <v>4</v>
      </c>
      <c r="B9" s="7">
        <f>C9/12</f>
        <v>28916.37</v>
      </c>
      <c r="C9" s="1">
        <v>346996.44</v>
      </c>
    </row>
    <row r="10" spans="1:3" ht="15.75">
      <c r="A10" s="1" t="s">
        <v>31</v>
      </c>
      <c r="B10" s="7">
        <f t="shared" ref="B10:B28" si="0">C10/12</f>
        <v>1420.8858333333335</v>
      </c>
      <c r="C10" s="1">
        <v>17050.63</v>
      </c>
    </row>
    <row r="11" spans="1:3" ht="15.75">
      <c r="A11" s="1" t="s">
        <v>17</v>
      </c>
      <c r="B11" s="7">
        <f t="shared" si="0"/>
        <v>30337.255833333333</v>
      </c>
      <c r="C11" s="1">
        <v>364047.07</v>
      </c>
    </row>
    <row r="12" spans="1:3" ht="15.75">
      <c r="A12" s="1" t="s">
        <v>18</v>
      </c>
      <c r="B12" s="7">
        <f t="shared" si="0"/>
        <v>0</v>
      </c>
      <c r="C12" s="1"/>
    </row>
    <row r="13" spans="1:3" ht="15.75">
      <c r="A13" s="1" t="s">
        <v>25</v>
      </c>
      <c r="B13" s="7">
        <f t="shared" si="0"/>
        <v>7333.2833333333328</v>
      </c>
      <c r="C13" s="1">
        <v>87999.4</v>
      </c>
    </row>
    <row r="14" spans="1:3" ht="15.75">
      <c r="A14" s="1" t="s">
        <v>32</v>
      </c>
      <c r="B14" s="7">
        <f t="shared" si="0"/>
        <v>5019.0275000000001</v>
      </c>
      <c r="C14" s="1">
        <v>60228.33</v>
      </c>
    </row>
    <row r="15" spans="1:3" ht="15.75">
      <c r="A15" s="1" t="s">
        <v>5</v>
      </c>
      <c r="B15" s="7">
        <f t="shared" si="0"/>
        <v>0</v>
      </c>
      <c r="C15" s="1"/>
    </row>
    <row r="16" spans="1:3" ht="15.75">
      <c r="A16" s="1" t="s">
        <v>6</v>
      </c>
      <c r="B16" s="7">
        <f t="shared" si="0"/>
        <v>714.08333333333337</v>
      </c>
      <c r="C16" s="1">
        <v>8569</v>
      </c>
    </row>
    <row r="17" spans="1:3" ht="15.75">
      <c r="A17" s="1" t="s">
        <v>7</v>
      </c>
      <c r="B17" s="7">
        <f t="shared" si="0"/>
        <v>1073.51</v>
      </c>
      <c r="C17" s="1">
        <v>12882.12</v>
      </c>
    </row>
    <row r="18" spans="1:3" ht="15.75">
      <c r="A18" s="1" t="s">
        <v>8</v>
      </c>
      <c r="B18" s="7">
        <f t="shared" si="0"/>
        <v>0</v>
      </c>
      <c r="C18" s="1"/>
    </row>
    <row r="19" spans="1:3" ht="15.75">
      <c r="A19" s="1" t="s">
        <v>9</v>
      </c>
      <c r="B19" s="7">
        <f t="shared" si="0"/>
        <v>0</v>
      </c>
      <c r="C19" s="1"/>
    </row>
    <row r="20" spans="1:3" ht="15.75">
      <c r="A20" s="1" t="s">
        <v>10</v>
      </c>
      <c r="B20" s="7">
        <f t="shared" si="0"/>
        <v>549.57083333333333</v>
      </c>
      <c r="C20" s="1">
        <v>6594.85</v>
      </c>
    </row>
    <row r="21" spans="1:3" ht="15.75">
      <c r="A21" s="1" t="s">
        <v>11</v>
      </c>
      <c r="B21" s="7">
        <f t="shared" si="0"/>
        <v>1446.01</v>
      </c>
      <c r="C21" s="1">
        <v>17352.12</v>
      </c>
    </row>
    <row r="22" spans="1:3" ht="15.75">
      <c r="A22" s="1" t="s">
        <v>12</v>
      </c>
      <c r="B22" s="7">
        <f t="shared" si="0"/>
        <v>2095.2841666666668</v>
      </c>
      <c r="C22" s="1">
        <v>25143.41</v>
      </c>
    </row>
    <row r="23" spans="1:3" ht="15.75">
      <c r="A23" s="1" t="s">
        <v>13</v>
      </c>
      <c r="B23" s="7">
        <f t="shared" si="0"/>
        <v>469.13000000000005</v>
      </c>
      <c r="C23" s="1">
        <v>5629.56</v>
      </c>
    </row>
    <row r="24" spans="1:3" ht="15.75">
      <c r="A24" s="1" t="s">
        <v>14</v>
      </c>
      <c r="B24" s="7">
        <f t="shared" si="0"/>
        <v>1578.0241666666668</v>
      </c>
      <c r="C24" s="1">
        <v>18936.29</v>
      </c>
    </row>
    <row r="25" spans="1:3" ht="15.75">
      <c r="A25" s="1" t="s">
        <v>29</v>
      </c>
      <c r="B25" s="7">
        <f t="shared" si="0"/>
        <v>174.70083333333332</v>
      </c>
      <c r="C25" s="1">
        <v>2096.41</v>
      </c>
    </row>
    <row r="26" spans="1:3" ht="15.75">
      <c r="A26" s="1" t="s">
        <v>19</v>
      </c>
      <c r="B26" s="7">
        <f t="shared" si="0"/>
        <v>0</v>
      </c>
      <c r="C26" s="1"/>
    </row>
    <row r="27" spans="1:3" ht="15.75">
      <c r="A27" s="1" t="s">
        <v>78</v>
      </c>
      <c r="B27" s="7">
        <f t="shared" si="0"/>
        <v>6707.5033333333331</v>
      </c>
      <c r="C27" s="1">
        <v>80490.039999999994</v>
      </c>
    </row>
    <row r="28" spans="1:3" ht="15.75">
      <c r="A28" s="1" t="s">
        <v>79</v>
      </c>
      <c r="B28" s="7">
        <f t="shared" si="0"/>
        <v>27160.127500000002</v>
      </c>
      <c r="C28" s="1">
        <v>325921.53000000003</v>
      </c>
    </row>
    <row r="29" spans="1:3" ht="15.75">
      <c r="A29" s="1" t="s">
        <v>80</v>
      </c>
      <c r="B29" s="7"/>
      <c r="C29" s="1">
        <v>17784.439999999999</v>
      </c>
    </row>
    <row r="30" spans="1:3" ht="15.75">
      <c r="A30" s="1" t="s">
        <v>81</v>
      </c>
      <c r="B30" s="1"/>
      <c r="C30" s="1"/>
    </row>
    <row r="31" spans="1:3" ht="15.75">
      <c r="A31" s="1" t="s">
        <v>33</v>
      </c>
      <c r="B31" s="6">
        <v>32034.29</v>
      </c>
      <c r="C31" s="1"/>
    </row>
    <row r="32" spans="1:3" ht="15.75">
      <c r="A32" s="1" t="s">
        <v>22</v>
      </c>
      <c r="B32" s="1"/>
      <c r="C32" s="1"/>
    </row>
    <row r="33" spans="1:2" ht="15.75">
      <c r="A33" s="1" t="s">
        <v>23</v>
      </c>
    </row>
    <row r="34" spans="1:2" ht="15.75">
      <c r="A34" s="1" t="s">
        <v>82</v>
      </c>
      <c r="B34" s="4">
        <v>617.83000000000004</v>
      </c>
    </row>
    <row r="36" spans="1:2" ht="15.75">
      <c r="A36" s="10" t="s">
        <v>73</v>
      </c>
    </row>
    <row r="38" spans="1:2">
      <c r="A38" t="s">
        <v>75</v>
      </c>
    </row>
    <row r="39" spans="1:2">
      <c r="A39" t="s">
        <v>74</v>
      </c>
    </row>
    <row r="41" spans="1:2">
      <c r="A41" t="s">
        <v>76</v>
      </c>
    </row>
  </sheetData>
  <pageMargins left="0.7" right="0.7" top="0.75" bottom="0.75" header="0.3" footer="0.3"/>
  <pageSetup paperSize="9" orientation="portrait" verticalDpi="0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C41"/>
  <sheetViews>
    <sheetView topLeftCell="A16" workbookViewId="0">
      <selection activeCell="B34" sqref="B34"/>
    </sheetView>
  </sheetViews>
  <sheetFormatPr defaultRowHeight="15"/>
  <cols>
    <col min="1" max="1" width="53.85546875" customWidth="1"/>
    <col min="2" max="2" width="13.85546875" customWidth="1"/>
    <col min="3" max="3" width="14.5703125" customWidth="1"/>
  </cols>
  <sheetData>
    <row r="1" spans="1:3" ht="15.75">
      <c r="A1" s="1" t="s">
        <v>0</v>
      </c>
    </row>
    <row r="2" spans="1:3" ht="15.75">
      <c r="A2" s="1" t="s">
        <v>84</v>
      </c>
      <c r="B2" s="1"/>
      <c r="C2" s="1"/>
    </row>
    <row r="3" spans="1:3" ht="15.75">
      <c r="A3" s="1" t="s">
        <v>27</v>
      </c>
      <c r="B3" s="1"/>
      <c r="C3" s="1"/>
    </row>
    <row r="4" spans="1:3" ht="15.75">
      <c r="A4" s="1" t="s">
        <v>28</v>
      </c>
      <c r="B4" s="1"/>
      <c r="C4" s="1"/>
    </row>
    <row r="5" spans="1:3" ht="15.75">
      <c r="A5" s="1" t="s">
        <v>77</v>
      </c>
      <c r="B5" s="1"/>
      <c r="C5" s="1"/>
    </row>
    <row r="6" spans="1:3" ht="15.75">
      <c r="A6" s="1"/>
      <c r="B6" s="1"/>
      <c r="C6" s="1"/>
    </row>
    <row r="7" spans="1:3" ht="15.75">
      <c r="A7" s="1" t="s">
        <v>1</v>
      </c>
      <c r="B7" s="1" t="s">
        <v>2</v>
      </c>
      <c r="C7" s="1" t="s">
        <v>3</v>
      </c>
    </row>
    <row r="8" spans="1:3" ht="15.75">
      <c r="A8" s="1" t="s">
        <v>24</v>
      </c>
      <c r="B8" s="2"/>
      <c r="C8" s="1">
        <v>-10696.71</v>
      </c>
    </row>
    <row r="9" spans="1:3" ht="15.75">
      <c r="A9" s="1" t="s">
        <v>4</v>
      </c>
      <c r="B9" s="7">
        <f>C9/12</f>
        <v>31448.595000000001</v>
      </c>
      <c r="C9" s="1">
        <v>377383.14</v>
      </c>
    </row>
    <row r="10" spans="1:3" ht="15.75">
      <c r="A10" s="1" t="s">
        <v>31</v>
      </c>
      <c r="B10" s="7">
        <f t="shared" ref="B10:B28" si="0">C10/12</f>
        <v>2934.17</v>
      </c>
      <c r="C10" s="1">
        <v>35210.04</v>
      </c>
    </row>
    <row r="11" spans="1:3" ht="15.75">
      <c r="A11" s="1" t="s">
        <v>17</v>
      </c>
      <c r="B11" s="7">
        <f t="shared" si="0"/>
        <v>34382.764999999999</v>
      </c>
      <c r="C11" s="1">
        <v>412593.18</v>
      </c>
    </row>
    <row r="12" spans="1:3" ht="15.75">
      <c r="A12" s="1" t="s">
        <v>18</v>
      </c>
      <c r="B12" s="7">
        <f t="shared" si="0"/>
        <v>0</v>
      </c>
      <c r="C12" s="1"/>
    </row>
    <row r="13" spans="1:3" ht="15.75">
      <c r="A13" s="1" t="s">
        <v>25</v>
      </c>
      <c r="B13" s="7">
        <f t="shared" si="0"/>
        <v>9231.5275000000001</v>
      </c>
      <c r="C13" s="1">
        <v>110778.33</v>
      </c>
    </row>
    <row r="14" spans="1:3" ht="15.75">
      <c r="A14" s="1" t="s">
        <v>32</v>
      </c>
      <c r="B14" s="7">
        <f t="shared" si="0"/>
        <v>7511.5458333333336</v>
      </c>
      <c r="C14" s="1">
        <v>90138.55</v>
      </c>
    </row>
    <row r="15" spans="1:3" ht="15.75">
      <c r="A15" s="1" t="s">
        <v>5</v>
      </c>
      <c r="B15" s="7">
        <f t="shared" si="0"/>
        <v>0</v>
      </c>
      <c r="C15" s="1"/>
    </row>
    <row r="16" spans="1:3" ht="15.75">
      <c r="A16" s="1" t="s">
        <v>6</v>
      </c>
      <c r="B16" s="7">
        <f t="shared" si="0"/>
        <v>638.25</v>
      </c>
      <c r="C16" s="1">
        <v>7659</v>
      </c>
    </row>
    <row r="17" spans="1:3" ht="15.75">
      <c r="A17" s="1" t="s">
        <v>7</v>
      </c>
      <c r="B17" s="7">
        <f t="shared" si="0"/>
        <v>1359.79</v>
      </c>
      <c r="C17" s="1">
        <v>16317.48</v>
      </c>
    </row>
    <row r="18" spans="1:3" ht="15.75">
      <c r="A18" s="1" t="s">
        <v>8</v>
      </c>
      <c r="B18" s="7">
        <f t="shared" si="0"/>
        <v>48.571666666666665</v>
      </c>
      <c r="C18" s="1">
        <v>582.86</v>
      </c>
    </row>
    <row r="19" spans="1:3" ht="15.75">
      <c r="A19" s="1" t="s">
        <v>9</v>
      </c>
      <c r="B19" s="7">
        <f t="shared" si="0"/>
        <v>0</v>
      </c>
      <c r="C19" s="1"/>
    </row>
    <row r="20" spans="1:3" ht="15.75">
      <c r="A20" s="1" t="s">
        <v>10</v>
      </c>
      <c r="B20" s="7">
        <f t="shared" si="0"/>
        <v>682.2258333333333</v>
      </c>
      <c r="C20" s="1">
        <v>8186.71</v>
      </c>
    </row>
    <row r="21" spans="1:3" ht="15.75">
      <c r="A21" s="1" t="s">
        <v>11</v>
      </c>
      <c r="B21" s="7">
        <f t="shared" si="0"/>
        <v>1587.4383333333333</v>
      </c>
      <c r="C21" s="1">
        <v>19049.259999999998</v>
      </c>
    </row>
    <row r="22" spans="1:3" ht="15.75">
      <c r="A22" s="1" t="s">
        <v>12</v>
      </c>
      <c r="B22" s="7">
        <f t="shared" si="0"/>
        <v>2637.6550000000002</v>
      </c>
      <c r="C22" s="1">
        <v>31651.86</v>
      </c>
    </row>
    <row r="23" spans="1:3" ht="15.75">
      <c r="A23" s="1" t="s">
        <v>13</v>
      </c>
      <c r="B23" s="7">
        <f t="shared" si="0"/>
        <v>830.33583333333343</v>
      </c>
      <c r="C23" s="1">
        <v>9964.0300000000007</v>
      </c>
    </row>
    <row r="24" spans="1:3" ht="15.75">
      <c r="A24" s="1" t="s">
        <v>14</v>
      </c>
      <c r="B24" s="7">
        <f t="shared" si="0"/>
        <v>1788.4558333333334</v>
      </c>
      <c r="C24" s="1">
        <v>21461.47</v>
      </c>
    </row>
    <row r="25" spans="1:3" ht="15.75">
      <c r="A25" s="1" t="s">
        <v>29</v>
      </c>
      <c r="B25" s="7">
        <f t="shared" si="0"/>
        <v>225.16499999999999</v>
      </c>
      <c r="C25" s="1">
        <v>2701.98</v>
      </c>
    </row>
    <row r="26" spans="1:3" ht="15.75">
      <c r="A26" s="1" t="s">
        <v>19</v>
      </c>
      <c r="B26" s="7">
        <f t="shared" si="0"/>
        <v>0</v>
      </c>
      <c r="C26" s="1"/>
    </row>
    <row r="27" spans="1:3" ht="15.75">
      <c r="A27" s="1" t="s">
        <v>78</v>
      </c>
      <c r="B27" s="7">
        <f t="shared" si="0"/>
        <v>7835.623333333333</v>
      </c>
      <c r="C27" s="1">
        <v>94027.48</v>
      </c>
    </row>
    <row r="28" spans="1:3" ht="15.75">
      <c r="A28" s="1" t="s">
        <v>79</v>
      </c>
      <c r="B28" s="7">
        <f t="shared" si="0"/>
        <v>34376.584166666667</v>
      </c>
      <c r="C28" s="1">
        <v>412519.01</v>
      </c>
    </row>
    <row r="29" spans="1:3" ht="15.75">
      <c r="A29" s="1" t="s">
        <v>80</v>
      </c>
      <c r="B29" s="7"/>
      <c r="C29" s="1"/>
    </row>
    <row r="30" spans="1:3" ht="15.75">
      <c r="A30" s="1" t="s">
        <v>81</v>
      </c>
      <c r="B30" s="1"/>
      <c r="C30" s="1">
        <v>10622.54</v>
      </c>
    </row>
    <row r="31" spans="1:3" ht="15.75">
      <c r="A31" s="1" t="s">
        <v>33</v>
      </c>
      <c r="B31" s="6">
        <v>45556.33</v>
      </c>
      <c r="C31" s="1"/>
    </row>
    <row r="32" spans="1:3" ht="15.75">
      <c r="A32" s="1" t="s">
        <v>22</v>
      </c>
      <c r="B32" s="1"/>
      <c r="C32" s="1"/>
    </row>
    <row r="33" spans="1:2" ht="15.75">
      <c r="A33" s="1" t="s">
        <v>23</v>
      </c>
    </row>
    <row r="34" spans="1:2" ht="15.75">
      <c r="A34" s="1" t="s">
        <v>82</v>
      </c>
      <c r="B34" s="13">
        <v>0</v>
      </c>
    </row>
    <row r="36" spans="1:2" ht="15.75">
      <c r="A36" s="10" t="s">
        <v>73</v>
      </c>
    </row>
    <row r="38" spans="1:2">
      <c r="A38" t="s">
        <v>75</v>
      </c>
    </row>
    <row r="39" spans="1:2">
      <c r="A39" t="s">
        <v>74</v>
      </c>
    </row>
    <row r="41" spans="1:2">
      <c r="A41" t="s">
        <v>76</v>
      </c>
    </row>
  </sheetData>
  <pageMargins left="0.7" right="0.7" top="0.75" bottom="0.75" header="0.3" footer="0.3"/>
  <pageSetup paperSize="9" orientation="portrait" verticalDpi="0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C41"/>
  <sheetViews>
    <sheetView topLeftCell="A4" workbookViewId="0">
      <selection activeCell="F12" sqref="F12"/>
    </sheetView>
  </sheetViews>
  <sheetFormatPr defaultRowHeight="15"/>
  <cols>
    <col min="1" max="1" width="54.140625" customWidth="1"/>
    <col min="2" max="2" width="13.85546875" customWidth="1"/>
    <col min="3" max="3" width="15.28515625" customWidth="1"/>
  </cols>
  <sheetData>
    <row r="1" spans="1:3" ht="15.75">
      <c r="A1" s="1" t="s">
        <v>0</v>
      </c>
    </row>
    <row r="2" spans="1:3" ht="15.75">
      <c r="A2" s="1" t="s">
        <v>47</v>
      </c>
      <c r="B2" s="1"/>
      <c r="C2" s="1"/>
    </row>
    <row r="3" spans="1:3" ht="15.75">
      <c r="A3" s="1" t="s">
        <v>85</v>
      </c>
      <c r="B3" s="1"/>
      <c r="C3" s="1"/>
    </row>
    <row r="4" spans="1:3" ht="15.75">
      <c r="A4" s="1" t="s">
        <v>28</v>
      </c>
      <c r="B4" s="1"/>
      <c r="C4" s="1"/>
    </row>
    <row r="5" spans="1:3" ht="15.75">
      <c r="A5" s="1" t="s">
        <v>77</v>
      </c>
      <c r="B5" s="1"/>
      <c r="C5" s="1"/>
    </row>
    <row r="6" spans="1:3" ht="15.75">
      <c r="A6" s="1"/>
      <c r="B6" s="1"/>
      <c r="C6" s="1"/>
    </row>
    <row r="7" spans="1:3" ht="15.75">
      <c r="A7" s="1" t="s">
        <v>1</v>
      </c>
      <c r="B7" s="1" t="s">
        <v>2</v>
      </c>
      <c r="C7" s="1" t="s">
        <v>3</v>
      </c>
    </row>
    <row r="8" spans="1:3" ht="15.75">
      <c r="A8" s="1" t="s">
        <v>138</v>
      </c>
      <c r="B8" s="2"/>
      <c r="C8" s="6">
        <v>-3562.66</v>
      </c>
    </row>
    <row r="9" spans="1:3" ht="15.75">
      <c r="A9" s="1" t="s">
        <v>4</v>
      </c>
      <c r="B9" s="7">
        <f>C9/12</f>
        <v>38388.709166666667</v>
      </c>
      <c r="C9" s="1">
        <v>460664.51</v>
      </c>
    </row>
    <row r="10" spans="1:3" ht="15.75">
      <c r="A10" s="1" t="s">
        <v>31</v>
      </c>
      <c r="B10" s="7">
        <f t="shared" ref="B10:B28" si="0">C10/12</f>
        <v>833.33333333333337</v>
      </c>
      <c r="C10" s="1">
        <v>10000</v>
      </c>
    </row>
    <row r="11" spans="1:3" ht="15.75">
      <c r="A11" s="1" t="s">
        <v>17</v>
      </c>
      <c r="B11" s="7">
        <f t="shared" si="0"/>
        <v>39222.042500000003</v>
      </c>
      <c r="C11" s="6">
        <v>470664.51</v>
      </c>
    </row>
    <row r="12" spans="1:3" ht="15.75">
      <c r="A12" s="1" t="s">
        <v>18</v>
      </c>
      <c r="B12" s="7">
        <f t="shared" si="0"/>
        <v>0</v>
      </c>
      <c r="C12" s="1"/>
    </row>
    <row r="13" spans="1:3" ht="15.75">
      <c r="A13" s="1" t="s">
        <v>25</v>
      </c>
      <c r="B13" s="7">
        <f t="shared" si="0"/>
        <v>9852.4833333333336</v>
      </c>
      <c r="C13" s="1">
        <v>118229.8</v>
      </c>
    </row>
    <row r="14" spans="1:3" ht="15.75">
      <c r="A14" s="1" t="s">
        <v>32</v>
      </c>
      <c r="B14" s="7">
        <f t="shared" si="0"/>
        <v>8782.6191666666655</v>
      </c>
      <c r="C14" s="1">
        <v>105391.43</v>
      </c>
    </row>
    <row r="15" spans="1:3" ht="15.75">
      <c r="A15" s="1" t="s">
        <v>5</v>
      </c>
      <c r="B15" s="7">
        <f t="shared" si="0"/>
        <v>0</v>
      </c>
      <c r="C15" s="1"/>
    </row>
    <row r="16" spans="1:3" ht="15.75">
      <c r="A16" s="1" t="s">
        <v>6</v>
      </c>
      <c r="B16" s="7">
        <f t="shared" si="0"/>
        <v>1342.6666666666667</v>
      </c>
      <c r="C16" s="1">
        <v>16112</v>
      </c>
    </row>
    <row r="17" spans="1:3" ht="15.75">
      <c r="A17" s="1" t="s">
        <v>7</v>
      </c>
      <c r="B17" s="7">
        <f t="shared" si="0"/>
        <v>1426.8549999999998</v>
      </c>
      <c r="C17" s="1">
        <v>17122.259999999998</v>
      </c>
    </row>
    <row r="18" spans="1:3" ht="15.75">
      <c r="A18" s="1" t="s">
        <v>8</v>
      </c>
      <c r="B18" s="7">
        <f t="shared" si="0"/>
        <v>155.57</v>
      </c>
      <c r="C18" s="1">
        <v>1866.84</v>
      </c>
    </row>
    <row r="19" spans="1:3" ht="15.75">
      <c r="A19" s="1" t="s">
        <v>9</v>
      </c>
      <c r="B19" s="7">
        <f t="shared" si="0"/>
        <v>0</v>
      </c>
      <c r="C19" s="1"/>
    </row>
    <row r="20" spans="1:3" ht="15.75">
      <c r="A20" s="1" t="s">
        <v>10</v>
      </c>
      <c r="B20" s="7">
        <f t="shared" si="0"/>
        <v>758.02833333333331</v>
      </c>
      <c r="C20" s="1">
        <v>9096.34</v>
      </c>
    </row>
    <row r="21" spans="1:3" ht="15.75">
      <c r="A21" s="1" t="s">
        <v>11</v>
      </c>
      <c r="B21" s="7">
        <f t="shared" si="0"/>
        <v>1908.375</v>
      </c>
      <c r="C21" s="1">
        <v>22900.5</v>
      </c>
    </row>
    <row r="22" spans="1:3" ht="15.75">
      <c r="A22" s="1" t="s">
        <v>12</v>
      </c>
      <c r="B22" s="7">
        <f t="shared" si="0"/>
        <v>2815.0758333333338</v>
      </c>
      <c r="C22" s="1">
        <v>33780.910000000003</v>
      </c>
    </row>
    <row r="23" spans="1:3" ht="15.75">
      <c r="A23" s="1" t="s">
        <v>13</v>
      </c>
      <c r="B23" s="7">
        <f t="shared" si="0"/>
        <v>652.82583333333332</v>
      </c>
      <c r="C23" s="1">
        <v>7833.91</v>
      </c>
    </row>
    <row r="24" spans="1:3" ht="15.75">
      <c r="A24" s="1" t="s">
        <v>14</v>
      </c>
      <c r="B24" s="7">
        <f t="shared" si="0"/>
        <v>2040.1758333333335</v>
      </c>
      <c r="C24" s="1">
        <v>24482.11</v>
      </c>
    </row>
    <row r="25" spans="1:3" ht="15.75">
      <c r="A25" s="1" t="s">
        <v>29</v>
      </c>
      <c r="B25" s="7">
        <f t="shared" si="0"/>
        <v>262.45166666666665</v>
      </c>
      <c r="C25" s="1">
        <v>3149.42</v>
      </c>
    </row>
    <row r="26" spans="1:3" ht="15.75">
      <c r="A26" s="1" t="s">
        <v>19</v>
      </c>
      <c r="B26" s="7">
        <f t="shared" si="0"/>
        <v>59.44083333333333</v>
      </c>
      <c r="C26" s="1">
        <v>713.29</v>
      </c>
    </row>
    <row r="27" spans="1:3" ht="15.75">
      <c r="A27" s="1" t="s">
        <v>78</v>
      </c>
      <c r="B27" s="7">
        <f t="shared" si="0"/>
        <v>9176.6324999999997</v>
      </c>
      <c r="C27" s="1">
        <v>110119.59</v>
      </c>
    </row>
    <row r="28" spans="1:3" ht="15.75">
      <c r="A28" s="1" t="s">
        <v>79</v>
      </c>
      <c r="B28" s="7">
        <f t="shared" si="0"/>
        <v>39233.200000000004</v>
      </c>
      <c r="C28" s="6">
        <v>470798.4</v>
      </c>
    </row>
    <row r="29" spans="1:3" ht="15.75">
      <c r="A29" s="1" t="s">
        <v>80</v>
      </c>
      <c r="B29" s="7"/>
      <c r="C29" s="1"/>
    </row>
    <row r="30" spans="1:3" ht="15.75">
      <c r="A30" s="1" t="s">
        <v>81</v>
      </c>
      <c r="B30" s="1"/>
      <c r="C30" s="6">
        <v>3696.55</v>
      </c>
    </row>
    <row r="31" spans="1:3" ht="15.75">
      <c r="A31" s="1" t="s">
        <v>33</v>
      </c>
      <c r="B31" s="6">
        <v>96819.03</v>
      </c>
      <c r="C31" s="1"/>
    </row>
    <row r="32" spans="1:3" ht="15.75">
      <c r="A32" s="1" t="s">
        <v>22</v>
      </c>
      <c r="B32" s="1"/>
      <c r="C32" s="1"/>
    </row>
    <row r="33" spans="1:2" ht="15.75">
      <c r="A33" s="1" t="s">
        <v>23</v>
      </c>
    </row>
    <row r="34" spans="1:2" ht="18.75">
      <c r="A34" s="1" t="s">
        <v>137</v>
      </c>
      <c r="B34" s="14">
        <v>5626.35</v>
      </c>
    </row>
    <row r="36" spans="1:2" ht="15.75">
      <c r="A36" s="10" t="s">
        <v>73</v>
      </c>
    </row>
    <row r="38" spans="1:2">
      <c r="A38" t="s">
        <v>75</v>
      </c>
    </row>
    <row r="39" spans="1:2">
      <c r="A39" t="s">
        <v>74</v>
      </c>
    </row>
    <row r="41" spans="1:2">
      <c r="A41" t="s">
        <v>76</v>
      </c>
    </row>
  </sheetData>
  <pageMargins left="0.7" right="0.7" top="0.75" bottom="0.75" header="0.3" footer="0.3"/>
  <pageSetup paperSize="9" orientation="portrait" verticalDpi="0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C41"/>
  <sheetViews>
    <sheetView workbookViewId="0">
      <selection activeCell="B34" sqref="B34"/>
    </sheetView>
  </sheetViews>
  <sheetFormatPr defaultRowHeight="15"/>
  <cols>
    <col min="1" max="1" width="54.140625" customWidth="1"/>
    <col min="2" max="2" width="14.5703125" customWidth="1"/>
    <col min="3" max="3" width="15.140625" customWidth="1"/>
  </cols>
  <sheetData>
    <row r="1" spans="1:3" ht="15.75">
      <c r="A1" s="1" t="s">
        <v>0</v>
      </c>
    </row>
    <row r="2" spans="1:3" ht="15.75">
      <c r="A2" s="1" t="s">
        <v>48</v>
      </c>
      <c r="B2" s="1"/>
      <c r="C2" s="1"/>
    </row>
    <row r="3" spans="1:3" ht="15.75">
      <c r="A3" s="1" t="s">
        <v>86</v>
      </c>
      <c r="B3" s="1"/>
      <c r="C3" s="1"/>
    </row>
    <row r="4" spans="1:3" ht="15.75">
      <c r="A4" s="1" t="s">
        <v>28</v>
      </c>
      <c r="B4" s="1"/>
      <c r="C4" s="1"/>
    </row>
    <row r="5" spans="1:3" ht="15.75">
      <c r="A5" s="1" t="s">
        <v>77</v>
      </c>
      <c r="B5" s="1"/>
      <c r="C5" s="1"/>
    </row>
    <row r="6" spans="1:3" ht="15.75">
      <c r="A6" s="1"/>
      <c r="B6" s="1"/>
      <c r="C6" s="1"/>
    </row>
    <row r="7" spans="1:3" ht="15.75">
      <c r="A7" s="1" t="s">
        <v>1</v>
      </c>
      <c r="B7" s="1" t="s">
        <v>2</v>
      </c>
      <c r="C7" s="1" t="s">
        <v>3</v>
      </c>
    </row>
    <row r="8" spans="1:3" ht="15.75">
      <c r="A8" s="1" t="s">
        <v>24</v>
      </c>
      <c r="B8" s="2"/>
      <c r="C8" s="6">
        <v>-2938.24</v>
      </c>
    </row>
    <row r="9" spans="1:3" ht="15.75">
      <c r="A9" s="1" t="s">
        <v>4</v>
      </c>
      <c r="B9" s="7">
        <f>C9/12</f>
        <v>28771.880833333333</v>
      </c>
      <c r="C9" s="1">
        <v>345262.57</v>
      </c>
    </row>
    <row r="10" spans="1:3" ht="15.75">
      <c r="A10" s="1" t="s">
        <v>31</v>
      </c>
      <c r="B10" s="7">
        <f t="shared" ref="B10:B28" si="0">C10/12</f>
        <v>633.33333333333337</v>
      </c>
      <c r="C10" s="1">
        <v>7600</v>
      </c>
    </row>
    <row r="11" spans="1:3" ht="15.75">
      <c r="A11" s="1" t="s">
        <v>17</v>
      </c>
      <c r="B11" s="7">
        <f t="shared" si="0"/>
        <v>29405.214166666668</v>
      </c>
      <c r="C11" s="6">
        <v>352862.57</v>
      </c>
    </row>
    <row r="12" spans="1:3" ht="15.75">
      <c r="A12" s="1" t="s">
        <v>18</v>
      </c>
      <c r="B12" s="7">
        <f t="shared" si="0"/>
        <v>0</v>
      </c>
      <c r="C12" s="1"/>
    </row>
    <row r="13" spans="1:3" ht="15.75">
      <c r="A13" s="1" t="s">
        <v>25</v>
      </c>
      <c r="B13" s="7">
        <f t="shared" si="0"/>
        <v>7127.1916666666666</v>
      </c>
      <c r="C13" s="1">
        <v>85526.3</v>
      </c>
    </row>
    <row r="14" spans="1:3" ht="15.75">
      <c r="A14" s="1" t="s">
        <v>32</v>
      </c>
      <c r="B14" s="7">
        <f t="shared" si="0"/>
        <v>4266.3491666666669</v>
      </c>
      <c r="C14" s="1">
        <v>51196.19</v>
      </c>
    </row>
    <row r="15" spans="1:3" ht="15.75">
      <c r="A15" s="1" t="s">
        <v>5</v>
      </c>
      <c r="B15" s="7">
        <f t="shared" si="0"/>
        <v>0</v>
      </c>
      <c r="C15" s="1"/>
    </row>
    <row r="16" spans="1:3" ht="15.75">
      <c r="A16" s="1" t="s">
        <v>6</v>
      </c>
      <c r="B16" s="7">
        <f t="shared" si="0"/>
        <v>785.75</v>
      </c>
      <c r="C16" s="1">
        <v>9429</v>
      </c>
    </row>
    <row r="17" spans="1:3" ht="15.75">
      <c r="A17" s="1" t="s">
        <v>7</v>
      </c>
      <c r="B17" s="7">
        <f t="shared" si="0"/>
        <v>1047.4100000000001</v>
      </c>
      <c r="C17" s="1">
        <v>12568.92</v>
      </c>
    </row>
    <row r="18" spans="1:3" ht="15.75">
      <c r="A18" s="1" t="s">
        <v>8</v>
      </c>
      <c r="B18" s="7">
        <f t="shared" si="0"/>
        <v>96.14</v>
      </c>
      <c r="C18" s="1">
        <v>1153.68</v>
      </c>
    </row>
    <row r="19" spans="1:3" ht="15.75">
      <c r="A19" s="1" t="s">
        <v>9</v>
      </c>
      <c r="B19" s="7">
        <f t="shared" si="0"/>
        <v>0</v>
      </c>
      <c r="C19" s="1"/>
    </row>
    <row r="20" spans="1:3" ht="15.75">
      <c r="A20" s="1" t="s">
        <v>10</v>
      </c>
      <c r="B20" s="7">
        <f t="shared" si="0"/>
        <v>568.52166666666665</v>
      </c>
      <c r="C20" s="1">
        <v>6822.26</v>
      </c>
    </row>
    <row r="21" spans="1:3" ht="15.75">
      <c r="A21" s="1" t="s">
        <v>11</v>
      </c>
      <c r="B21" s="7">
        <f t="shared" si="0"/>
        <v>1438.0683333333334</v>
      </c>
      <c r="C21" s="1">
        <v>17256.82</v>
      </c>
    </row>
    <row r="22" spans="1:3" ht="15.75">
      <c r="A22" s="1" t="s">
        <v>12</v>
      </c>
      <c r="B22" s="7">
        <f t="shared" si="0"/>
        <v>2036.3983333333333</v>
      </c>
      <c r="C22" s="1">
        <v>24436.78</v>
      </c>
    </row>
    <row r="23" spans="1:3" ht="15.75">
      <c r="A23" s="1" t="s">
        <v>13</v>
      </c>
      <c r="B23" s="7">
        <f t="shared" si="0"/>
        <v>373.23416666666668</v>
      </c>
      <c r="C23" s="1">
        <v>4478.8100000000004</v>
      </c>
    </row>
    <row r="24" spans="1:3" ht="15.75">
      <c r="A24" s="1" t="s">
        <v>14</v>
      </c>
      <c r="B24" s="7">
        <f t="shared" si="0"/>
        <v>1529.5433333333333</v>
      </c>
      <c r="C24" s="1">
        <v>18354.52</v>
      </c>
    </row>
    <row r="25" spans="1:3" ht="15.75">
      <c r="A25" s="1" t="s">
        <v>29</v>
      </c>
      <c r="B25" s="7">
        <f t="shared" si="0"/>
        <v>174.70083333333332</v>
      </c>
      <c r="C25" s="1">
        <v>2096.41</v>
      </c>
    </row>
    <row r="26" spans="1:3" ht="15.75">
      <c r="A26" s="1" t="s">
        <v>19</v>
      </c>
      <c r="B26" s="7">
        <f t="shared" si="0"/>
        <v>197.83249999999998</v>
      </c>
      <c r="C26" s="1">
        <v>2373.9899999999998</v>
      </c>
    </row>
    <row r="27" spans="1:3" ht="15.75">
      <c r="A27" s="1" t="s">
        <v>78</v>
      </c>
      <c r="B27" s="7">
        <f t="shared" si="0"/>
        <v>6735.0783333333338</v>
      </c>
      <c r="C27" s="1">
        <v>80820.94</v>
      </c>
    </row>
    <row r="28" spans="1:3" ht="15.75">
      <c r="A28" s="1" t="s">
        <v>79</v>
      </c>
      <c r="B28" s="7">
        <f t="shared" si="0"/>
        <v>26376.218333333334</v>
      </c>
      <c r="C28" s="6">
        <v>316514.62</v>
      </c>
    </row>
    <row r="29" spans="1:3" ht="15.75">
      <c r="A29" s="1" t="s">
        <v>80</v>
      </c>
      <c r="B29" s="7"/>
      <c r="C29" s="6">
        <v>33409.71</v>
      </c>
    </row>
    <row r="30" spans="1:3" ht="15.75">
      <c r="A30" s="1" t="s">
        <v>81</v>
      </c>
      <c r="B30" s="1"/>
      <c r="C30" s="1"/>
    </row>
    <row r="31" spans="1:3" ht="15.75">
      <c r="A31" s="1" t="s">
        <v>33</v>
      </c>
      <c r="B31" s="6">
        <v>22194.7</v>
      </c>
      <c r="C31" s="1"/>
    </row>
    <row r="32" spans="1:3" ht="15.75">
      <c r="A32" s="1" t="s">
        <v>22</v>
      </c>
      <c r="B32" s="1"/>
      <c r="C32" s="1"/>
    </row>
    <row r="33" spans="1:2" ht="15.75">
      <c r="A33" s="1" t="s">
        <v>23</v>
      </c>
    </row>
    <row r="34" spans="1:2" ht="15.75">
      <c r="A34" s="1" t="s">
        <v>82</v>
      </c>
      <c r="B34" s="4">
        <v>16612.7</v>
      </c>
    </row>
    <row r="36" spans="1:2" ht="15.75">
      <c r="A36" s="10" t="s">
        <v>73</v>
      </c>
    </row>
    <row r="38" spans="1:2">
      <c r="A38" t="s">
        <v>75</v>
      </c>
    </row>
    <row r="39" spans="1:2">
      <c r="A39" t="s">
        <v>74</v>
      </c>
    </row>
    <row r="41" spans="1:2">
      <c r="A41" t="s">
        <v>76</v>
      </c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1"/>
  <sheetViews>
    <sheetView workbookViewId="0">
      <selection activeCell="A8" sqref="A8"/>
    </sheetView>
  </sheetViews>
  <sheetFormatPr defaultRowHeight="15"/>
  <cols>
    <col min="1" max="1" width="53.42578125" customWidth="1"/>
    <col min="2" max="2" width="14.140625" customWidth="1"/>
    <col min="3" max="3" width="14.42578125" customWidth="1"/>
  </cols>
  <sheetData>
    <row r="1" spans="1:4" ht="15.75">
      <c r="A1" s="1" t="s">
        <v>0</v>
      </c>
      <c r="D1" s="1"/>
    </row>
    <row r="2" spans="1:4" ht="15.75">
      <c r="A2" s="1" t="s">
        <v>122</v>
      </c>
      <c r="B2" s="1"/>
      <c r="C2" s="1"/>
    </row>
    <row r="3" spans="1:4" ht="15.75">
      <c r="A3" s="1" t="s">
        <v>92</v>
      </c>
      <c r="B3" s="1"/>
      <c r="C3" s="1"/>
    </row>
    <row r="4" spans="1:4" ht="15.75">
      <c r="A4" s="1" t="s">
        <v>28</v>
      </c>
      <c r="B4" s="1"/>
      <c r="C4" s="1"/>
    </row>
    <row r="5" spans="1:4" ht="15.75">
      <c r="A5" s="1" t="s">
        <v>77</v>
      </c>
      <c r="B5" s="1"/>
      <c r="C5" s="1"/>
    </row>
    <row r="6" spans="1:4" ht="15.75">
      <c r="A6" s="1"/>
      <c r="B6" s="1"/>
      <c r="C6" s="1"/>
    </row>
    <row r="7" spans="1:4" ht="15.75">
      <c r="A7" s="1" t="s">
        <v>1</v>
      </c>
      <c r="B7" s="1" t="s">
        <v>2</v>
      </c>
      <c r="C7" s="1" t="s">
        <v>3</v>
      </c>
    </row>
    <row r="8" spans="1:4" ht="15.75">
      <c r="A8" s="1" t="s">
        <v>138</v>
      </c>
      <c r="B8" s="2"/>
      <c r="C8" s="6">
        <v>-6267.12</v>
      </c>
    </row>
    <row r="9" spans="1:4" ht="15.75">
      <c r="A9" s="1" t="s">
        <v>4</v>
      </c>
      <c r="B9" s="7">
        <f>C9/12</f>
        <v>29332.002500000002</v>
      </c>
      <c r="C9" s="1">
        <v>351984.03</v>
      </c>
    </row>
    <row r="10" spans="1:4" ht="15.75">
      <c r="A10" s="1" t="s">
        <v>31</v>
      </c>
      <c r="B10" s="7">
        <f t="shared" ref="B10:B28" si="0">C10/12</f>
        <v>1000.8333333333334</v>
      </c>
      <c r="C10" s="1">
        <v>12010</v>
      </c>
    </row>
    <row r="11" spans="1:4" ht="15.75">
      <c r="A11" s="6" t="s">
        <v>17</v>
      </c>
      <c r="B11" s="7">
        <f t="shared" si="0"/>
        <v>30332.835833333334</v>
      </c>
      <c r="C11" s="6">
        <f>SUM(C9:C10)</f>
        <v>363994.03</v>
      </c>
    </row>
    <row r="12" spans="1:4" ht="15.75">
      <c r="A12" s="1" t="s">
        <v>18</v>
      </c>
      <c r="B12" s="7">
        <f t="shared" si="0"/>
        <v>0</v>
      </c>
      <c r="C12" s="1"/>
    </row>
    <row r="13" spans="1:4" ht="15.75">
      <c r="A13" s="1" t="s">
        <v>25</v>
      </c>
      <c r="B13" s="7">
        <f t="shared" si="0"/>
        <v>7387.9558333333334</v>
      </c>
      <c r="C13" s="1">
        <f>72446.07+16209.4</f>
        <v>88655.47</v>
      </c>
    </row>
    <row r="14" spans="1:4" ht="15.75">
      <c r="A14" s="1" t="s">
        <v>32</v>
      </c>
      <c r="B14" s="7">
        <f t="shared" si="0"/>
        <v>5411.479166666667</v>
      </c>
      <c r="C14" s="1">
        <f>18125.14+46812.61</f>
        <v>64937.75</v>
      </c>
    </row>
    <row r="15" spans="1:4" ht="15.75">
      <c r="A15" s="1" t="s">
        <v>5</v>
      </c>
      <c r="B15" s="7">
        <f t="shared" si="0"/>
        <v>0</v>
      </c>
      <c r="C15" s="1"/>
    </row>
    <row r="16" spans="1:4" ht="15.75">
      <c r="A16" s="1" t="s">
        <v>6</v>
      </c>
      <c r="B16" s="7">
        <f t="shared" si="0"/>
        <v>8917.5833333333339</v>
      </c>
      <c r="C16" s="1">
        <v>107011</v>
      </c>
    </row>
    <row r="17" spans="1:3" ht="15.75">
      <c r="A17" s="1" t="s">
        <v>7</v>
      </c>
      <c r="B17" s="7">
        <f t="shared" si="0"/>
        <v>1087.575</v>
      </c>
      <c r="C17" s="1">
        <v>13050.9</v>
      </c>
    </row>
    <row r="18" spans="1:3" ht="15.75">
      <c r="A18" s="1" t="s">
        <v>8</v>
      </c>
      <c r="B18" s="7">
        <f t="shared" si="0"/>
        <v>363.9666666666667</v>
      </c>
      <c r="C18" s="1">
        <v>4367.6000000000004</v>
      </c>
    </row>
    <row r="19" spans="1:3" ht="15.75">
      <c r="A19" s="1" t="s">
        <v>9</v>
      </c>
      <c r="B19" s="7">
        <f t="shared" si="0"/>
        <v>0</v>
      </c>
      <c r="C19" s="1"/>
    </row>
    <row r="20" spans="1:3" ht="15.75">
      <c r="A20" s="1" t="s">
        <v>10</v>
      </c>
      <c r="B20" s="7">
        <f t="shared" si="0"/>
        <v>473.76749999999998</v>
      </c>
      <c r="C20" s="1">
        <v>5685.21</v>
      </c>
    </row>
    <row r="21" spans="1:3" ht="15.75">
      <c r="A21" s="1" t="s">
        <v>11</v>
      </c>
      <c r="B21" s="7">
        <f t="shared" si="0"/>
        <v>1459.4691666666668</v>
      </c>
      <c r="C21" s="1">
        <v>17513.63</v>
      </c>
    </row>
    <row r="22" spans="1:3" ht="15.75">
      <c r="A22" s="1" t="s">
        <v>12</v>
      </c>
      <c r="B22" s="7">
        <f t="shared" si="0"/>
        <v>2110.9050000000002</v>
      </c>
      <c r="C22" s="1">
        <v>25330.86</v>
      </c>
    </row>
    <row r="23" spans="1:3" ht="15.75">
      <c r="A23" s="1" t="s">
        <v>13</v>
      </c>
      <c r="B23" s="7">
        <f t="shared" si="0"/>
        <v>378.80250000000001</v>
      </c>
      <c r="C23" s="1">
        <v>4545.63</v>
      </c>
    </row>
    <row r="24" spans="1:3" ht="15.75">
      <c r="A24" s="1" t="s">
        <v>14</v>
      </c>
      <c r="B24" s="7">
        <f t="shared" si="0"/>
        <v>1577.7941666666666</v>
      </c>
      <c r="C24" s="1">
        <v>18933.53</v>
      </c>
    </row>
    <row r="25" spans="1:3" ht="15.75">
      <c r="A25" s="1" t="s">
        <v>29</v>
      </c>
      <c r="B25" s="7">
        <f t="shared" si="0"/>
        <v>170.56916666666666</v>
      </c>
      <c r="C25" s="1">
        <v>2046.83</v>
      </c>
    </row>
    <row r="26" spans="1:3" ht="15.75">
      <c r="A26" s="1" t="s">
        <v>19</v>
      </c>
      <c r="B26" s="7">
        <f t="shared" si="0"/>
        <v>0</v>
      </c>
      <c r="C26" s="1"/>
    </row>
    <row r="27" spans="1:3" ht="15.75">
      <c r="A27" s="1" t="s">
        <v>78</v>
      </c>
      <c r="B27" s="7">
        <f t="shared" si="0"/>
        <v>6993.3600000000006</v>
      </c>
      <c r="C27" s="1">
        <v>83920.320000000007</v>
      </c>
    </row>
    <row r="28" spans="1:3" ht="15.75">
      <c r="A28" s="6" t="s">
        <v>79</v>
      </c>
      <c r="B28" s="7">
        <f t="shared" si="0"/>
        <v>36333.227500000001</v>
      </c>
      <c r="C28" s="6">
        <f>SUM(C13:C27)</f>
        <v>435998.73</v>
      </c>
    </row>
    <row r="29" spans="1:3" ht="15.75">
      <c r="A29" s="6" t="s">
        <v>80</v>
      </c>
      <c r="B29" s="7"/>
      <c r="C29" s="6"/>
    </row>
    <row r="30" spans="1:3" ht="15.75">
      <c r="A30" s="6" t="s">
        <v>81</v>
      </c>
      <c r="B30" s="1"/>
      <c r="C30" s="6">
        <v>78271.820000000007</v>
      </c>
    </row>
    <row r="31" spans="1:3" ht="15.75">
      <c r="A31" s="1" t="s">
        <v>33</v>
      </c>
      <c r="B31" s="6">
        <v>47975.13</v>
      </c>
      <c r="C31" s="1"/>
    </row>
    <row r="32" spans="1:3" ht="15.75">
      <c r="A32" s="1" t="s">
        <v>22</v>
      </c>
      <c r="B32" s="1"/>
      <c r="C32" s="1"/>
    </row>
    <row r="33" spans="1:2" ht="15.75">
      <c r="A33" s="1" t="s">
        <v>23</v>
      </c>
    </row>
    <row r="34" spans="1:2" ht="15.75">
      <c r="A34" s="1" t="s">
        <v>82</v>
      </c>
      <c r="B34" s="4">
        <v>29030.45</v>
      </c>
    </row>
    <row r="36" spans="1:2" ht="15.75">
      <c r="A36" s="10" t="s">
        <v>73</v>
      </c>
    </row>
    <row r="38" spans="1:2">
      <c r="A38" t="s">
        <v>75</v>
      </c>
    </row>
    <row r="39" spans="1:2">
      <c r="A39" t="s">
        <v>74</v>
      </c>
    </row>
    <row r="41" spans="1:2">
      <c r="A41" t="s">
        <v>76</v>
      </c>
    </row>
  </sheetData>
  <pageMargins left="0.7" right="0.7" top="0.75" bottom="0.75" header="0.3" footer="0.3"/>
  <pageSetup paperSize="9" orientation="portrait" verticalDpi="0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C41"/>
  <sheetViews>
    <sheetView topLeftCell="A25" workbookViewId="0">
      <selection activeCell="F30" sqref="F30"/>
    </sheetView>
  </sheetViews>
  <sheetFormatPr defaultRowHeight="15"/>
  <cols>
    <col min="1" max="1" width="53" customWidth="1"/>
    <col min="2" max="2" width="13.5703125" customWidth="1"/>
    <col min="3" max="3" width="16.28515625" customWidth="1"/>
  </cols>
  <sheetData>
    <row r="1" spans="1:3" ht="15.75">
      <c r="A1" s="1" t="s">
        <v>0</v>
      </c>
    </row>
    <row r="2" spans="1:3" ht="15.75">
      <c r="A2" s="1" t="s">
        <v>83</v>
      </c>
      <c r="B2" s="1"/>
      <c r="C2" s="1"/>
    </row>
    <row r="3" spans="1:3" ht="15.75">
      <c r="A3" s="1" t="s">
        <v>87</v>
      </c>
      <c r="B3" s="1"/>
      <c r="C3" s="1"/>
    </row>
    <row r="4" spans="1:3" ht="15.75">
      <c r="A4" s="1" t="s">
        <v>28</v>
      </c>
      <c r="B4" s="1"/>
      <c r="C4" s="1"/>
    </row>
    <row r="5" spans="1:3" ht="15.75">
      <c r="A5" s="1" t="s">
        <v>77</v>
      </c>
      <c r="B5" s="1"/>
      <c r="C5" s="1"/>
    </row>
    <row r="6" spans="1:3" ht="15.75">
      <c r="A6" s="1"/>
      <c r="B6" s="1"/>
      <c r="C6" s="1"/>
    </row>
    <row r="7" spans="1:3" ht="15.75">
      <c r="A7" s="1" t="s">
        <v>1</v>
      </c>
      <c r="B7" s="1" t="s">
        <v>2</v>
      </c>
      <c r="C7" s="1" t="s">
        <v>3</v>
      </c>
    </row>
    <row r="8" spans="1:3" ht="15.75">
      <c r="A8" s="6" t="s">
        <v>24</v>
      </c>
      <c r="B8" s="2"/>
      <c r="C8" s="6">
        <v>82086.83</v>
      </c>
    </row>
    <row r="9" spans="1:3" ht="15.75">
      <c r="A9" s="1" t="s">
        <v>4</v>
      </c>
      <c r="B9" s="7">
        <f>C9/12</f>
        <v>52343.730833333335</v>
      </c>
      <c r="C9" s="1">
        <v>628124.77</v>
      </c>
    </row>
    <row r="10" spans="1:3" ht="15.75">
      <c r="A10" s="1" t="s">
        <v>31</v>
      </c>
      <c r="B10" s="7">
        <f t="shared" ref="B10:B28" si="0">C10/12</f>
        <v>12434.154999999999</v>
      </c>
      <c r="C10" s="1">
        <v>149209.85999999999</v>
      </c>
    </row>
    <row r="11" spans="1:3" ht="15.75">
      <c r="A11" s="6" t="s">
        <v>17</v>
      </c>
      <c r="B11" s="7">
        <f t="shared" si="0"/>
        <v>64777.885833333334</v>
      </c>
      <c r="C11" s="6">
        <v>777334.63</v>
      </c>
    </row>
    <row r="12" spans="1:3" ht="15.75">
      <c r="A12" s="1" t="s">
        <v>18</v>
      </c>
      <c r="B12" s="7">
        <f t="shared" si="0"/>
        <v>0</v>
      </c>
      <c r="C12" s="1"/>
    </row>
    <row r="13" spans="1:3" ht="15.75">
      <c r="A13" s="1" t="s">
        <v>25</v>
      </c>
      <c r="B13" s="7">
        <f t="shared" si="0"/>
        <v>17231.863333333331</v>
      </c>
      <c r="C13" s="1">
        <v>206782.36</v>
      </c>
    </row>
    <row r="14" spans="1:3" ht="15.75">
      <c r="A14" s="1" t="s">
        <v>32</v>
      </c>
      <c r="B14" s="7">
        <f t="shared" si="0"/>
        <v>11716.094166666668</v>
      </c>
      <c r="C14" s="1">
        <v>140593.13</v>
      </c>
    </row>
    <row r="15" spans="1:3" ht="15.75">
      <c r="A15" s="1" t="s">
        <v>5</v>
      </c>
      <c r="B15" s="7">
        <f t="shared" si="0"/>
        <v>0</v>
      </c>
      <c r="C15" s="1"/>
    </row>
    <row r="16" spans="1:3" ht="15.75">
      <c r="A16" s="1" t="s">
        <v>6</v>
      </c>
      <c r="B16" s="7">
        <f t="shared" si="0"/>
        <v>4976.75</v>
      </c>
      <c r="C16" s="1">
        <v>59721</v>
      </c>
    </row>
    <row r="17" spans="1:3" ht="15.75">
      <c r="A17" s="1" t="s">
        <v>7</v>
      </c>
      <c r="B17" s="7">
        <f t="shared" si="0"/>
        <v>2601.2550000000001</v>
      </c>
      <c r="C17" s="1">
        <v>31215.06</v>
      </c>
    </row>
    <row r="18" spans="1:3" ht="15.75">
      <c r="A18" s="1" t="s">
        <v>8</v>
      </c>
      <c r="B18" s="7">
        <f t="shared" si="0"/>
        <v>89.57</v>
      </c>
      <c r="C18" s="1">
        <v>1074.8399999999999</v>
      </c>
    </row>
    <row r="19" spans="1:3" ht="15.75">
      <c r="A19" s="1" t="s">
        <v>9</v>
      </c>
      <c r="B19" s="7">
        <f t="shared" si="0"/>
        <v>0</v>
      </c>
      <c r="C19" s="1"/>
    </row>
    <row r="20" spans="1:3" ht="15.75">
      <c r="A20" s="1" t="s">
        <v>10</v>
      </c>
      <c r="B20" s="7">
        <f t="shared" si="0"/>
        <v>1118.0925</v>
      </c>
      <c r="C20" s="1">
        <v>13417.11</v>
      </c>
    </row>
    <row r="21" spans="1:3" ht="15.75">
      <c r="A21" s="1" t="s">
        <v>11</v>
      </c>
      <c r="B21" s="7">
        <f t="shared" si="0"/>
        <v>2725.7966666666666</v>
      </c>
      <c r="C21" s="1">
        <v>32709.56</v>
      </c>
    </row>
    <row r="22" spans="1:3" ht="15.75">
      <c r="A22" s="1" t="s">
        <v>12</v>
      </c>
      <c r="B22" s="7">
        <f t="shared" si="0"/>
        <v>4923.53</v>
      </c>
      <c r="C22" s="1">
        <v>59082.36</v>
      </c>
    </row>
    <row r="23" spans="1:3" ht="15.75">
      <c r="A23" s="1" t="s">
        <v>13</v>
      </c>
      <c r="B23" s="7">
        <f t="shared" si="0"/>
        <v>757.07833333333338</v>
      </c>
      <c r="C23" s="1">
        <v>9084.94</v>
      </c>
    </row>
    <row r="24" spans="1:3" ht="15.75">
      <c r="A24" s="1" t="s">
        <v>14</v>
      </c>
      <c r="B24" s="7">
        <f t="shared" si="0"/>
        <v>3369.49</v>
      </c>
      <c r="C24" s="1">
        <v>40433.879999999997</v>
      </c>
    </row>
    <row r="25" spans="1:3" ht="15.75">
      <c r="A25" s="1" t="s">
        <v>29</v>
      </c>
      <c r="B25" s="7">
        <f t="shared" si="0"/>
        <v>335.41666666666669</v>
      </c>
      <c r="C25" s="1">
        <v>4025</v>
      </c>
    </row>
    <row r="26" spans="1:3" ht="15.75">
      <c r="A26" s="1" t="s">
        <v>19</v>
      </c>
      <c r="B26" s="7">
        <f t="shared" si="0"/>
        <v>878.86666666666667</v>
      </c>
      <c r="C26" s="1">
        <v>10546.4</v>
      </c>
    </row>
    <row r="27" spans="1:3" ht="15.75">
      <c r="A27" s="1" t="s">
        <v>78</v>
      </c>
      <c r="B27" s="7">
        <f t="shared" si="0"/>
        <v>12969.553333333335</v>
      </c>
      <c r="C27" s="1">
        <v>155634.64000000001</v>
      </c>
    </row>
    <row r="28" spans="1:3" ht="15.75">
      <c r="A28" s="6" t="s">
        <v>79</v>
      </c>
      <c r="B28" s="7">
        <f t="shared" si="0"/>
        <v>63693.356666666667</v>
      </c>
      <c r="C28" s="6">
        <v>764320.28</v>
      </c>
    </row>
    <row r="29" spans="1:3" ht="15.75">
      <c r="A29" s="6" t="s">
        <v>80</v>
      </c>
      <c r="B29" s="7"/>
      <c r="C29" s="6">
        <v>95101.18</v>
      </c>
    </row>
    <row r="30" spans="1:3" ht="15.75">
      <c r="A30" s="1" t="s">
        <v>81</v>
      </c>
      <c r="B30" s="1"/>
      <c r="C30" s="1"/>
    </row>
    <row r="31" spans="1:3" ht="15.75">
      <c r="A31" s="1" t="s">
        <v>33</v>
      </c>
      <c r="B31" s="6">
        <v>242049.76</v>
      </c>
      <c r="C31" s="1"/>
    </row>
    <row r="32" spans="1:3" ht="15.75">
      <c r="A32" s="1" t="s">
        <v>22</v>
      </c>
      <c r="B32" s="1"/>
      <c r="C32" s="1"/>
    </row>
    <row r="33" spans="1:3" ht="15.75">
      <c r="A33" s="1" t="s">
        <v>23</v>
      </c>
    </row>
    <row r="34" spans="1:3" ht="18.75">
      <c r="A34" s="1" t="s">
        <v>82</v>
      </c>
      <c r="B34" s="14">
        <v>3554.65</v>
      </c>
    </row>
    <row r="35" spans="1:3" ht="18.75">
      <c r="A35" s="6" t="s">
        <v>144</v>
      </c>
      <c r="C35" s="14">
        <v>-150503.23000000001</v>
      </c>
    </row>
    <row r="36" spans="1:3" ht="15.75">
      <c r="A36" s="10" t="s">
        <v>73</v>
      </c>
    </row>
    <row r="38" spans="1:3">
      <c r="A38" t="s">
        <v>75</v>
      </c>
    </row>
    <row r="39" spans="1:3">
      <c r="A39" t="s">
        <v>74</v>
      </c>
    </row>
    <row r="41" spans="1:3">
      <c r="A41" t="s">
        <v>76</v>
      </c>
    </row>
  </sheetData>
  <pageMargins left="0.7" right="0.7" top="0.75" bottom="0.75" header="0.3" footer="0.3"/>
  <pageSetup paperSize="9" orientation="portrait" verticalDpi="0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C41"/>
  <sheetViews>
    <sheetView topLeftCell="A25" workbookViewId="0">
      <selection activeCell="F37" sqref="F37"/>
    </sheetView>
  </sheetViews>
  <sheetFormatPr defaultRowHeight="15"/>
  <cols>
    <col min="1" max="1" width="56.7109375" customWidth="1"/>
    <col min="2" max="2" width="14.28515625" customWidth="1"/>
    <col min="3" max="3" width="14.85546875" customWidth="1"/>
  </cols>
  <sheetData>
    <row r="1" spans="1:3" ht="15.75">
      <c r="A1" s="1" t="s">
        <v>0</v>
      </c>
    </row>
    <row r="2" spans="1:3" ht="15.75">
      <c r="A2" s="1" t="s">
        <v>49</v>
      </c>
      <c r="B2" s="1"/>
      <c r="C2" s="1"/>
    </row>
    <row r="3" spans="1:3" ht="15.75">
      <c r="A3" s="1" t="s">
        <v>88</v>
      </c>
      <c r="B3" s="1"/>
      <c r="C3" s="1"/>
    </row>
    <row r="4" spans="1:3" ht="15.75">
      <c r="A4" s="1" t="s">
        <v>28</v>
      </c>
      <c r="B4" s="1"/>
      <c r="C4" s="1"/>
    </row>
    <row r="5" spans="1:3" ht="15.75">
      <c r="A5" s="1" t="s">
        <v>77</v>
      </c>
      <c r="B5" s="1"/>
      <c r="C5" s="1"/>
    </row>
    <row r="6" spans="1:3" ht="15.75">
      <c r="A6" s="1"/>
      <c r="B6" s="1"/>
      <c r="C6" s="1"/>
    </row>
    <row r="7" spans="1:3" ht="15.75">
      <c r="A7" s="1" t="s">
        <v>1</v>
      </c>
      <c r="B7" s="1" t="s">
        <v>2</v>
      </c>
      <c r="C7" s="1" t="s">
        <v>3</v>
      </c>
    </row>
    <row r="8" spans="1:3" ht="15.75">
      <c r="A8" s="6" t="s">
        <v>24</v>
      </c>
      <c r="B8" s="2"/>
      <c r="C8" s="6">
        <v>25895.77</v>
      </c>
    </row>
    <row r="9" spans="1:3" ht="15.75">
      <c r="A9" s="1" t="s">
        <v>4</v>
      </c>
      <c r="B9" s="7">
        <f>C9/12</f>
        <v>40221.301666666666</v>
      </c>
      <c r="C9" s="1">
        <v>482655.62</v>
      </c>
    </row>
    <row r="10" spans="1:3" ht="15.75">
      <c r="A10" s="1" t="s">
        <v>31</v>
      </c>
      <c r="B10" s="7">
        <f t="shared" ref="B10:B28" si="0">C10/12</f>
        <v>1534.1666666666667</v>
      </c>
      <c r="C10" s="1">
        <v>18410</v>
      </c>
    </row>
    <row r="11" spans="1:3" ht="15.75">
      <c r="A11" s="6" t="s">
        <v>17</v>
      </c>
      <c r="B11" s="7">
        <f t="shared" si="0"/>
        <v>41755.468333333331</v>
      </c>
      <c r="C11" s="6">
        <v>501065.62</v>
      </c>
    </row>
    <row r="12" spans="1:3" ht="15.75">
      <c r="A12" s="1" t="s">
        <v>18</v>
      </c>
      <c r="B12" s="7">
        <f t="shared" si="0"/>
        <v>0</v>
      </c>
      <c r="C12" s="1"/>
    </row>
    <row r="13" spans="1:3" ht="15.75">
      <c r="A13" s="1" t="s">
        <v>25</v>
      </c>
      <c r="B13" s="7">
        <f t="shared" si="0"/>
        <v>10249.929166666667</v>
      </c>
      <c r="C13" s="1">
        <v>122999.15</v>
      </c>
    </row>
    <row r="14" spans="1:3" ht="15.75">
      <c r="A14" s="1" t="s">
        <v>32</v>
      </c>
      <c r="B14" s="7">
        <f t="shared" si="0"/>
        <v>8685.8533333333344</v>
      </c>
      <c r="C14" s="1">
        <v>104230.24</v>
      </c>
    </row>
    <row r="15" spans="1:3" ht="15.75">
      <c r="A15" s="1" t="s">
        <v>5</v>
      </c>
      <c r="B15" s="7">
        <f t="shared" si="0"/>
        <v>0</v>
      </c>
      <c r="C15" s="1"/>
    </row>
    <row r="16" spans="1:3" ht="15.75">
      <c r="A16" s="1" t="s">
        <v>6</v>
      </c>
      <c r="B16" s="7">
        <f t="shared" si="0"/>
        <v>4489.083333333333</v>
      </c>
      <c r="C16" s="1">
        <v>53869</v>
      </c>
    </row>
    <row r="17" spans="1:3" ht="15.75">
      <c r="A17" s="1" t="s">
        <v>7</v>
      </c>
      <c r="B17" s="7">
        <f t="shared" si="0"/>
        <v>1494.8400000000001</v>
      </c>
      <c r="C17" s="1">
        <v>17938.080000000002</v>
      </c>
    </row>
    <row r="18" spans="1:3" ht="15.75">
      <c r="A18" s="1" t="s">
        <v>8</v>
      </c>
      <c r="B18" s="7">
        <f t="shared" si="0"/>
        <v>140.32</v>
      </c>
      <c r="C18" s="1">
        <v>1683.84</v>
      </c>
    </row>
    <row r="19" spans="1:3" ht="15.75">
      <c r="A19" s="1" t="s">
        <v>9</v>
      </c>
      <c r="B19" s="7">
        <f t="shared" si="0"/>
        <v>0</v>
      </c>
      <c r="C19" s="1"/>
    </row>
    <row r="20" spans="1:3" ht="15.75">
      <c r="A20" s="1" t="s">
        <v>10</v>
      </c>
      <c r="B20" s="7">
        <f t="shared" si="0"/>
        <v>758.02833333333331</v>
      </c>
      <c r="C20" s="1">
        <v>9096.34</v>
      </c>
    </row>
    <row r="21" spans="1:3" ht="15.75">
      <c r="A21" s="1" t="s">
        <v>11</v>
      </c>
      <c r="B21" s="7">
        <f t="shared" si="0"/>
        <v>1995.6625000000001</v>
      </c>
      <c r="C21" s="1">
        <v>23947.95</v>
      </c>
    </row>
    <row r="22" spans="1:3" ht="15.75">
      <c r="A22" s="1" t="s">
        <v>12</v>
      </c>
      <c r="B22" s="7">
        <f t="shared" si="0"/>
        <v>2928.6341666666667</v>
      </c>
      <c r="C22" s="1">
        <v>35143.61</v>
      </c>
    </row>
    <row r="23" spans="1:3" ht="15.75">
      <c r="A23" s="1" t="s">
        <v>13</v>
      </c>
      <c r="B23" s="7">
        <f t="shared" si="0"/>
        <v>712.65333333333331</v>
      </c>
      <c r="C23" s="1">
        <v>8551.84</v>
      </c>
    </row>
    <row r="24" spans="1:3" ht="15.75">
      <c r="A24" s="1" t="s">
        <v>14</v>
      </c>
      <c r="B24" s="7">
        <f t="shared" si="0"/>
        <v>2171.9549999999999</v>
      </c>
      <c r="C24" s="1">
        <v>26063.46</v>
      </c>
    </row>
    <row r="25" spans="1:3" ht="15.75">
      <c r="A25" s="1" t="s">
        <v>29</v>
      </c>
      <c r="B25" s="7">
        <f t="shared" si="0"/>
        <v>225.30666666666664</v>
      </c>
      <c r="C25" s="1">
        <v>2703.68</v>
      </c>
    </row>
    <row r="26" spans="1:3" ht="15.75">
      <c r="A26" s="1" t="s">
        <v>19</v>
      </c>
      <c r="B26" s="7">
        <f t="shared" si="0"/>
        <v>0</v>
      </c>
      <c r="C26" s="1"/>
    </row>
    <row r="27" spans="1:3" ht="15.75">
      <c r="A27" s="1" t="s">
        <v>78</v>
      </c>
      <c r="B27" s="7">
        <f t="shared" si="0"/>
        <v>9612.5216666666656</v>
      </c>
      <c r="C27" s="1">
        <v>115350.26</v>
      </c>
    </row>
    <row r="28" spans="1:3" ht="15.75">
      <c r="A28" s="6" t="s">
        <v>79</v>
      </c>
      <c r="B28" s="7">
        <f t="shared" si="0"/>
        <v>43464.787499999999</v>
      </c>
      <c r="C28" s="6">
        <v>521577.45</v>
      </c>
    </row>
    <row r="29" spans="1:3" ht="15.75">
      <c r="A29" s="6" t="s">
        <v>80</v>
      </c>
      <c r="B29" s="7"/>
      <c r="C29" s="6">
        <v>5383.94</v>
      </c>
    </row>
    <row r="30" spans="1:3" ht="15.75">
      <c r="A30" s="1" t="s">
        <v>81</v>
      </c>
      <c r="B30" s="1"/>
      <c r="C30" s="1"/>
    </row>
    <row r="31" spans="1:3" ht="15.75">
      <c r="A31" s="1" t="s">
        <v>33</v>
      </c>
      <c r="B31" s="6">
        <v>93855.32</v>
      </c>
      <c r="C31" s="1"/>
    </row>
    <row r="32" spans="1:3" ht="15.75">
      <c r="A32" s="1" t="s">
        <v>22</v>
      </c>
      <c r="B32" s="1"/>
      <c r="C32" s="1"/>
    </row>
    <row r="33" spans="1:2" ht="15.75">
      <c r="A33" s="1" t="s">
        <v>23</v>
      </c>
    </row>
    <row r="34" spans="1:2" ht="18.75">
      <c r="A34" s="1" t="s">
        <v>137</v>
      </c>
      <c r="B34" s="14">
        <v>0</v>
      </c>
    </row>
    <row r="35" spans="1:2" ht="24" customHeight="1"/>
    <row r="36" spans="1:2" ht="23.25" customHeight="1">
      <c r="A36" s="10" t="s">
        <v>73</v>
      </c>
    </row>
    <row r="37" spans="1:2" ht="22.5" customHeight="1"/>
    <row r="38" spans="1:2">
      <c r="A38" t="s">
        <v>75</v>
      </c>
    </row>
    <row r="39" spans="1:2" ht="21.75" customHeight="1">
      <c r="A39" t="s">
        <v>74</v>
      </c>
    </row>
    <row r="41" spans="1:2">
      <c r="A41" t="s">
        <v>76</v>
      </c>
    </row>
  </sheetData>
  <pageMargins left="0.7" right="0.7" top="0.75" bottom="0.75" header="0.3" footer="0.3"/>
  <pageSetup paperSize="9" orientation="portrait" verticalDpi="0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C41"/>
  <sheetViews>
    <sheetView workbookViewId="0">
      <selection activeCell="B34" sqref="B34"/>
    </sheetView>
  </sheetViews>
  <sheetFormatPr defaultRowHeight="15"/>
  <cols>
    <col min="1" max="1" width="53.28515625" customWidth="1"/>
    <col min="2" max="2" width="13.85546875" customWidth="1"/>
    <col min="3" max="3" width="15.85546875" customWidth="1"/>
  </cols>
  <sheetData>
    <row r="1" spans="1:3" ht="15.75">
      <c r="A1" s="1" t="s">
        <v>0</v>
      </c>
    </row>
    <row r="2" spans="1:3" ht="15.75">
      <c r="A2" s="1" t="s">
        <v>116</v>
      </c>
      <c r="B2" s="1"/>
      <c r="C2" s="1"/>
    </row>
    <row r="3" spans="1:3" ht="15.75">
      <c r="A3" s="1" t="s">
        <v>88</v>
      </c>
      <c r="B3" s="1"/>
      <c r="C3" s="1"/>
    </row>
    <row r="4" spans="1:3" ht="15.75">
      <c r="A4" s="1" t="s">
        <v>28</v>
      </c>
      <c r="B4" s="1"/>
      <c r="C4" s="1"/>
    </row>
    <row r="5" spans="1:3" ht="15.75">
      <c r="A5" s="1" t="s">
        <v>77</v>
      </c>
      <c r="B5" s="1"/>
      <c r="C5" s="1"/>
    </row>
    <row r="6" spans="1:3" ht="15.75">
      <c r="A6" s="1"/>
      <c r="B6" s="1"/>
      <c r="C6" s="1"/>
    </row>
    <row r="7" spans="1:3" ht="15.75">
      <c r="A7" s="1" t="s">
        <v>1</v>
      </c>
      <c r="B7" s="1" t="s">
        <v>2</v>
      </c>
      <c r="C7" s="1" t="s">
        <v>3</v>
      </c>
    </row>
    <row r="8" spans="1:3" ht="15.75">
      <c r="A8" s="1" t="s">
        <v>24</v>
      </c>
      <c r="B8" s="2"/>
      <c r="C8" s="6">
        <v>-71110.320000000007</v>
      </c>
    </row>
    <row r="9" spans="1:3" ht="15.75">
      <c r="A9" s="1" t="s">
        <v>4</v>
      </c>
      <c r="B9" s="7">
        <f>C9/12</f>
        <v>142345.38333333333</v>
      </c>
      <c r="C9" s="1">
        <v>1708144.6</v>
      </c>
    </row>
    <row r="10" spans="1:3" ht="15.75">
      <c r="A10" s="1" t="s">
        <v>31</v>
      </c>
      <c r="B10" s="7">
        <f t="shared" ref="B10:B28" si="0">C10/12</f>
        <v>3750</v>
      </c>
      <c r="C10" s="1">
        <v>45000</v>
      </c>
    </row>
    <row r="11" spans="1:3" ht="15.75">
      <c r="A11" s="1" t="s">
        <v>17</v>
      </c>
      <c r="B11" s="7">
        <f t="shared" si="0"/>
        <v>146095.38333333333</v>
      </c>
      <c r="C11" s="6">
        <f>SUM(C9:C10)</f>
        <v>1753144.6</v>
      </c>
    </row>
    <row r="12" spans="1:3" ht="15.75">
      <c r="A12" s="1" t="s">
        <v>18</v>
      </c>
      <c r="B12" s="7">
        <f t="shared" si="0"/>
        <v>0</v>
      </c>
      <c r="C12" s="1"/>
    </row>
    <row r="13" spans="1:3" ht="15.75">
      <c r="A13" s="1" t="s">
        <v>25</v>
      </c>
      <c r="B13" s="7">
        <f t="shared" si="0"/>
        <v>31489.734166666673</v>
      </c>
      <c r="C13" s="1">
        <f>308787.4+69089.41</f>
        <v>377876.81000000006</v>
      </c>
    </row>
    <row r="14" spans="1:3" ht="15.75">
      <c r="A14" s="1" t="s">
        <v>32</v>
      </c>
      <c r="B14" s="7">
        <f t="shared" si="0"/>
        <v>18605.423333333332</v>
      </c>
      <c r="C14" s="1">
        <f>143020.8+80244.28</f>
        <v>223265.08</v>
      </c>
    </row>
    <row r="15" spans="1:3" ht="15.75">
      <c r="A15" s="1" t="s">
        <v>5</v>
      </c>
      <c r="B15" s="7">
        <f t="shared" si="0"/>
        <v>4908.4000000000005</v>
      </c>
      <c r="C15" s="1">
        <v>58900.800000000003</v>
      </c>
    </row>
    <row r="16" spans="1:3" ht="15.75">
      <c r="A16" s="1" t="s">
        <v>6</v>
      </c>
      <c r="B16" s="7">
        <f t="shared" si="0"/>
        <v>5516.583333333333</v>
      </c>
      <c r="C16" s="1">
        <v>66199</v>
      </c>
    </row>
    <row r="17" spans="1:3" ht="15.75">
      <c r="A17" s="1" t="s">
        <v>7</v>
      </c>
      <c r="B17" s="7">
        <f t="shared" si="0"/>
        <v>4095.81</v>
      </c>
      <c r="C17" s="1">
        <v>49149.72</v>
      </c>
    </row>
    <row r="18" spans="1:3" ht="15.75">
      <c r="A18" s="1" t="s">
        <v>8</v>
      </c>
      <c r="B18" s="7">
        <f t="shared" si="0"/>
        <v>733.56166666666661</v>
      </c>
      <c r="C18" s="1">
        <v>8802.74</v>
      </c>
    </row>
    <row r="19" spans="1:3" ht="15.75">
      <c r="A19" s="1" t="s">
        <v>9</v>
      </c>
      <c r="B19" s="7">
        <f t="shared" si="0"/>
        <v>20211.46</v>
      </c>
      <c r="C19" s="1">
        <v>242537.52</v>
      </c>
    </row>
    <row r="20" spans="1:3" ht="15.75">
      <c r="A20" s="1" t="s">
        <v>10</v>
      </c>
      <c r="B20" s="7">
        <f t="shared" si="0"/>
        <v>1553.9583333333333</v>
      </c>
      <c r="C20" s="1">
        <v>18647.5</v>
      </c>
    </row>
    <row r="21" spans="1:3" ht="15.75">
      <c r="A21" s="1" t="s">
        <v>11</v>
      </c>
      <c r="B21" s="7">
        <f t="shared" si="0"/>
        <v>7074.8366666666661</v>
      </c>
      <c r="C21" s="1">
        <v>84898.04</v>
      </c>
    </row>
    <row r="22" spans="1:3" ht="15.75">
      <c r="A22" s="1" t="s">
        <v>12</v>
      </c>
      <c r="B22" s="7">
        <f t="shared" si="0"/>
        <v>8997.3233333333337</v>
      </c>
      <c r="C22" s="1">
        <v>107967.88</v>
      </c>
    </row>
    <row r="23" spans="1:3" ht="15.75">
      <c r="A23" s="1" t="s">
        <v>13</v>
      </c>
      <c r="B23" s="7">
        <f t="shared" si="0"/>
        <v>118.83749999999999</v>
      </c>
      <c r="C23" s="1">
        <v>1426.05</v>
      </c>
    </row>
    <row r="24" spans="1:3" ht="15.75">
      <c r="A24" s="1" t="s">
        <v>14</v>
      </c>
      <c r="B24" s="7">
        <f t="shared" si="0"/>
        <v>7599.3050000000003</v>
      </c>
      <c r="C24" s="1">
        <v>91191.66</v>
      </c>
    </row>
    <row r="25" spans="1:3" ht="15.75">
      <c r="A25" s="1" t="s">
        <v>29</v>
      </c>
      <c r="B25" s="7">
        <f t="shared" si="0"/>
        <v>223.95000000000002</v>
      </c>
      <c r="C25" s="1">
        <v>2687.4</v>
      </c>
    </row>
    <row r="26" spans="1:3" ht="15.75">
      <c r="A26" s="1" t="s">
        <v>19</v>
      </c>
      <c r="B26" s="7">
        <f t="shared" si="0"/>
        <v>1321.5725</v>
      </c>
      <c r="C26" s="1">
        <v>15858.87</v>
      </c>
    </row>
    <row r="27" spans="1:3" ht="15.75">
      <c r="A27" s="1" t="s">
        <v>78</v>
      </c>
      <c r="B27" s="7">
        <f t="shared" si="0"/>
        <v>26206.379166666666</v>
      </c>
      <c r="C27" s="1">
        <v>314476.55</v>
      </c>
    </row>
    <row r="28" spans="1:3" ht="15.75">
      <c r="A28" s="1" t="s">
        <v>79</v>
      </c>
      <c r="B28" s="7">
        <f t="shared" si="0"/>
        <v>138657.13499999998</v>
      </c>
      <c r="C28" s="6">
        <f>SUM(C13:C27)</f>
        <v>1663885.6199999999</v>
      </c>
    </row>
    <row r="29" spans="1:3" ht="15.75">
      <c r="A29" s="1" t="s">
        <v>80</v>
      </c>
      <c r="B29" s="7"/>
      <c r="C29" s="1"/>
    </row>
    <row r="30" spans="1:3" ht="15.75">
      <c r="A30" s="1" t="s">
        <v>81</v>
      </c>
      <c r="B30" s="1"/>
      <c r="C30" s="6">
        <v>18148.66</v>
      </c>
    </row>
    <row r="31" spans="1:3" ht="15.75">
      <c r="A31" s="1" t="s">
        <v>33</v>
      </c>
      <c r="B31" s="6">
        <v>124306.55</v>
      </c>
      <c r="C31" s="1"/>
    </row>
    <row r="32" spans="1:3" ht="15.75">
      <c r="A32" s="1" t="s">
        <v>22</v>
      </c>
      <c r="B32" s="1"/>
      <c r="C32" s="1"/>
    </row>
    <row r="33" spans="1:2" ht="15.75">
      <c r="A33" s="1" t="s">
        <v>23</v>
      </c>
    </row>
    <row r="34" spans="1:2" ht="18.75">
      <c r="A34" s="1" t="s">
        <v>82</v>
      </c>
      <c r="B34" s="14">
        <v>0</v>
      </c>
    </row>
    <row r="35" spans="1:2" ht="27.75" customHeight="1"/>
    <row r="36" spans="1:2" ht="15.75">
      <c r="A36" s="10" t="s">
        <v>73</v>
      </c>
    </row>
    <row r="37" spans="1:2" ht="24.75" customHeight="1"/>
    <row r="38" spans="1:2">
      <c r="A38" t="s">
        <v>75</v>
      </c>
    </row>
    <row r="39" spans="1:2">
      <c r="A39" t="s">
        <v>74</v>
      </c>
    </row>
    <row r="41" spans="1:2">
      <c r="A41" t="s">
        <v>76</v>
      </c>
    </row>
  </sheetData>
  <pageMargins left="0.7" right="0.7" top="0.75" bottom="0.75" header="0.3" footer="0.3"/>
  <pageSetup paperSize="9" orientation="portrait" verticalDpi="0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D54"/>
  <sheetViews>
    <sheetView topLeftCell="A20" workbookViewId="0">
      <selection activeCell="C30" sqref="C30"/>
    </sheetView>
  </sheetViews>
  <sheetFormatPr defaultRowHeight="15"/>
  <cols>
    <col min="1" max="1" width="53.7109375" customWidth="1"/>
    <col min="2" max="2" width="14.28515625" customWidth="1"/>
    <col min="3" max="3" width="14.140625" customWidth="1"/>
  </cols>
  <sheetData>
    <row r="1" spans="1:3" ht="15.75">
      <c r="A1" s="1" t="s">
        <v>0</v>
      </c>
    </row>
    <row r="2" spans="1:3" ht="15.75">
      <c r="A2" s="1" t="s">
        <v>50</v>
      </c>
      <c r="B2" s="1"/>
      <c r="C2" s="1"/>
    </row>
    <row r="3" spans="1:3" ht="15.75">
      <c r="A3" s="1" t="s">
        <v>88</v>
      </c>
      <c r="B3" s="1"/>
      <c r="C3" s="1"/>
    </row>
    <row r="4" spans="1:3" ht="15.75">
      <c r="A4" s="1" t="s">
        <v>28</v>
      </c>
      <c r="B4" s="1"/>
      <c r="C4" s="1"/>
    </row>
    <row r="5" spans="1:3" ht="15.75">
      <c r="A5" s="1" t="s">
        <v>77</v>
      </c>
      <c r="B5" s="1"/>
      <c r="C5" s="1"/>
    </row>
    <row r="6" spans="1:3" ht="15.75">
      <c r="A6" s="1"/>
      <c r="B6" s="1"/>
      <c r="C6" s="1"/>
    </row>
    <row r="7" spans="1:3" ht="15.75">
      <c r="A7" s="1" t="s">
        <v>1</v>
      </c>
      <c r="B7" s="1" t="s">
        <v>2</v>
      </c>
      <c r="C7" s="1" t="s">
        <v>3</v>
      </c>
    </row>
    <row r="8" spans="1:3" ht="15.75">
      <c r="A8" s="1" t="s">
        <v>138</v>
      </c>
      <c r="B8" s="2"/>
      <c r="C8" s="6">
        <v>-9334.1200000000008</v>
      </c>
    </row>
    <row r="9" spans="1:3" ht="15.75">
      <c r="A9" s="1" t="s">
        <v>4</v>
      </c>
      <c r="B9" s="7">
        <f>C9/12</f>
        <v>102699.5</v>
      </c>
      <c r="C9" s="1">
        <v>1232394</v>
      </c>
    </row>
    <row r="10" spans="1:3" ht="15.75">
      <c r="A10" s="1" t="s">
        <v>31</v>
      </c>
      <c r="B10" s="7">
        <f t="shared" ref="B10:B28" si="0">C10/12</f>
        <v>2985</v>
      </c>
      <c r="C10" s="1">
        <f>5760+30060</f>
        <v>35820</v>
      </c>
    </row>
    <row r="11" spans="1:3" ht="15.75">
      <c r="A11" s="1" t="s">
        <v>17</v>
      </c>
      <c r="B11" s="7">
        <f t="shared" si="0"/>
        <v>105684.5</v>
      </c>
      <c r="C11" s="6">
        <f>SUM(C9:C10)</f>
        <v>1268214</v>
      </c>
    </row>
    <row r="12" spans="1:3" ht="15.75">
      <c r="A12" s="1" t="s">
        <v>18</v>
      </c>
      <c r="B12" s="7">
        <f t="shared" si="0"/>
        <v>0</v>
      </c>
      <c r="C12" s="1"/>
    </row>
    <row r="13" spans="1:3" ht="15.75">
      <c r="A13" s="1" t="s">
        <v>25</v>
      </c>
      <c r="B13" s="7">
        <f t="shared" si="0"/>
        <v>22036.84</v>
      </c>
      <c r="C13" s="1">
        <f>216092.6+48349.48</f>
        <v>264442.08</v>
      </c>
    </row>
    <row r="14" spans="1:3" ht="15.75">
      <c r="A14" s="1" t="s">
        <v>32</v>
      </c>
      <c r="B14" s="7">
        <f t="shared" si="0"/>
        <v>14725.077499999999</v>
      </c>
      <c r="C14" s="1">
        <f>70437.74+106263.19</f>
        <v>176700.93</v>
      </c>
    </row>
    <row r="15" spans="1:3" ht="15.75">
      <c r="A15" s="1" t="s">
        <v>5</v>
      </c>
      <c r="B15" s="7">
        <f t="shared" si="0"/>
        <v>8835.1200000000008</v>
      </c>
      <c r="C15" s="1">
        <v>106021.44</v>
      </c>
    </row>
    <row r="16" spans="1:3" ht="15.75">
      <c r="A16" s="1" t="s">
        <v>6</v>
      </c>
      <c r="B16" s="7">
        <f t="shared" si="0"/>
        <v>4179.5</v>
      </c>
      <c r="C16" s="1">
        <v>50154</v>
      </c>
    </row>
    <row r="17" spans="1:4" ht="15.75">
      <c r="A17" s="1" t="s">
        <v>7</v>
      </c>
      <c r="B17" s="7">
        <f t="shared" si="0"/>
        <v>2979.3349999999996</v>
      </c>
      <c r="C17" s="1">
        <v>35752.019999999997</v>
      </c>
    </row>
    <row r="18" spans="1:4" ht="15.75">
      <c r="A18" s="1" t="s">
        <v>8</v>
      </c>
      <c r="B18" s="7">
        <f t="shared" si="0"/>
        <v>632.87333333333333</v>
      </c>
      <c r="C18" s="1">
        <v>7594.48</v>
      </c>
    </row>
    <row r="19" spans="1:4" ht="15.75">
      <c r="A19" s="1" t="s">
        <v>9</v>
      </c>
      <c r="B19" s="7">
        <f t="shared" si="0"/>
        <v>14144.18</v>
      </c>
      <c r="C19" s="1">
        <v>169730.16</v>
      </c>
    </row>
    <row r="20" spans="1:4" ht="15.75">
      <c r="A20" s="1" t="s">
        <v>10</v>
      </c>
      <c r="B20" s="7">
        <f t="shared" si="0"/>
        <v>1193.895</v>
      </c>
      <c r="C20" s="1">
        <v>14326.74</v>
      </c>
      <c r="D20" s="1"/>
    </row>
    <row r="21" spans="1:4" ht="15.75">
      <c r="A21" s="1" t="s">
        <v>11</v>
      </c>
      <c r="B21" s="7">
        <f t="shared" si="0"/>
        <v>5118.1808333333329</v>
      </c>
      <c r="C21" s="1">
        <v>61418.17</v>
      </c>
      <c r="D21" s="1"/>
    </row>
    <row r="22" spans="1:4" ht="15.75">
      <c r="A22" s="1" t="s">
        <v>12</v>
      </c>
      <c r="B22" s="7">
        <f t="shared" si="0"/>
        <v>6296.418333333334</v>
      </c>
      <c r="C22" s="1">
        <v>75557.02</v>
      </c>
      <c r="D22" s="1"/>
    </row>
    <row r="23" spans="1:4" ht="15.75">
      <c r="A23" s="1" t="s">
        <v>13</v>
      </c>
      <c r="B23" s="7">
        <f t="shared" si="0"/>
        <v>46.122500000000002</v>
      </c>
      <c r="C23" s="1">
        <v>553.47</v>
      </c>
      <c r="D23" s="1"/>
    </row>
    <row r="24" spans="1:4" ht="15.75">
      <c r="A24" s="1" t="s">
        <v>14</v>
      </c>
      <c r="B24" s="7">
        <f t="shared" si="0"/>
        <v>5497.2908333333335</v>
      </c>
      <c r="C24" s="1">
        <v>65967.490000000005</v>
      </c>
      <c r="D24" s="1"/>
    </row>
    <row r="25" spans="1:4" ht="15.75">
      <c r="A25" s="1" t="s">
        <v>29</v>
      </c>
      <c r="B25" s="7">
        <f t="shared" si="0"/>
        <v>165.08166666666668</v>
      </c>
      <c r="C25" s="1">
        <v>1980.98</v>
      </c>
      <c r="D25" s="1"/>
    </row>
    <row r="26" spans="1:4" ht="15.75">
      <c r="A26" s="1" t="s">
        <v>19</v>
      </c>
      <c r="B26" s="7">
        <f t="shared" si="0"/>
        <v>2205.0174999999999</v>
      </c>
      <c r="C26" s="2">
        <v>26460.21</v>
      </c>
      <c r="D26" s="1"/>
    </row>
    <row r="27" spans="1:4" ht="15.75">
      <c r="A27" s="1" t="s">
        <v>78</v>
      </c>
      <c r="B27" s="7">
        <f t="shared" si="0"/>
        <v>19157.815833333334</v>
      </c>
      <c r="C27" s="11">
        <v>229893.79</v>
      </c>
      <c r="D27" s="1"/>
    </row>
    <row r="28" spans="1:4" ht="15.75">
      <c r="A28" s="1" t="s">
        <v>79</v>
      </c>
      <c r="B28" s="7">
        <f t="shared" si="0"/>
        <v>107212.74833333334</v>
      </c>
      <c r="C28" s="7">
        <f>SUM(C13:C27)</f>
        <v>1286552.98</v>
      </c>
      <c r="D28" s="1"/>
    </row>
    <row r="29" spans="1:4" ht="15.75">
      <c r="A29" s="1" t="s">
        <v>80</v>
      </c>
      <c r="B29" s="1"/>
      <c r="C29" s="7"/>
      <c r="D29" s="1"/>
    </row>
    <row r="30" spans="1:4" ht="18.75">
      <c r="A30" s="1" t="s">
        <v>81</v>
      </c>
      <c r="B30" s="1"/>
      <c r="C30" s="15">
        <v>27673.1</v>
      </c>
      <c r="D30" s="1"/>
    </row>
    <row r="31" spans="1:4" ht="15.75">
      <c r="A31" s="1" t="s">
        <v>33</v>
      </c>
      <c r="B31" s="6">
        <v>113947.65</v>
      </c>
      <c r="C31" s="7"/>
      <c r="D31" s="1"/>
    </row>
    <row r="32" spans="1:4" ht="15.75">
      <c r="A32" s="1" t="s">
        <v>22</v>
      </c>
      <c r="B32" s="1"/>
      <c r="C32" s="7"/>
      <c r="D32" s="1"/>
    </row>
    <row r="33" spans="1:4" ht="15.75">
      <c r="A33" s="1" t="s">
        <v>23</v>
      </c>
      <c r="B33" s="1"/>
      <c r="C33" s="7"/>
      <c r="D33" s="1"/>
    </row>
    <row r="34" spans="1:4" ht="15.75">
      <c r="A34" s="1" t="s">
        <v>137</v>
      </c>
      <c r="B34" s="6">
        <v>43689.65</v>
      </c>
      <c r="C34" s="7"/>
      <c r="D34" s="1"/>
    </row>
    <row r="35" spans="1:4" ht="33" customHeight="1">
      <c r="B35" s="1"/>
      <c r="C35" s="7"/>
      <c r="D35" s="1"/>
    </row>
    <row r="36" spans="1:4" ht="15.75">
      <c r="A36" s="10" t="s">
        <v>73</v>
      </c>
      <c r="B36" s="1"/>
      <c r="C36" s="7"/>
      <c r="D36" s="1"/>
    </row>
    <row r="37" spans="1:4" ht="15.75">
      <c r="B37" s="1"/>
      <c r="C37" s="7"/>
      <c r="D37" s="1"/>
    </row>
    <row r="38" spans="1:4" ht="15.75">
      <c r="A38" t="s">
        <v>75</v>
      </c>
      <c r="B38" s="1"/>
      <c r="C38" s="7"/>
      <c r="D38" s="1"/>
    </row>
    <row r="39" spans="1:4" ht="15.75">
      <c r="A39" t="s">
        <v>74</v>
      </c>
      <c r="B39" s="1"/>
      <c r="C39" s="7"/>
      <c r="D39" s="1"/>
    </row>
    <row r="40" spans="1:4" ht="15.75">
      <c r="B40" s="1"/>
      <c r="C40" s="7"/>
      <c r="D40" s="1"/>
    </row>
    <row r="41" spans="1:4" ht="15.75">
      <c r="A41" t="s">
        <v>76</v>
      </c>
      <c r="B41" s="1"/>
      <c r="C41" s="7"/>
      <c r="D41" s="1"/>
    </row>
    <row r="42" spans="1:4" ht="15.75">
      <c r="B42" s="1"/>
      <c r="C42" s="7"/>
      <c r="D42" s="1"/>
    </row>
    <row r="43" spans="1:4" ht="15.75">
      <c r="B43" s="1"/>
      <c r="C43" s="7"/>
      <c r="D43" s="1"/>
    </row>
    <row r="44" spans="1:4" ht="15.75">
      <c r="B44" s="1"/>
      <c r="C44" s="7"/>
      <c r="D44" s="1"/>
    </row>
    <row r="45" spans="1:4" ht="15.75">
      <c r="B45" s="1"/>
      <c r="C45" s="7"/>
      <c r="D45" s="1"/>
    </row>
    <row r="46" spans="1:4" ht="15.75">
      <c r="B46" s="1"/>
      <c r="C46" s="7"/>
      <c r="D46" s="1"/>
    </row>
    <row r="47" spans="1:4" ht="15.75">
      <c r="B47" s="1"/>
      <c r="C47" s="7"/>
      <c r="D47" s="1"/>
    </row>
    <row r="48" spans="1:4" ht="15.75">
      <c r="B48" s="1"/>
      <c r="C48" s="1"/>
      <c r="D48" s="1"/>
    </row>
    <row r="49" spans="2:4" ht="15.75">
      <c r="B49" s="1"/>
      <c r="C49" s="6"/>
      <c r="D49" s="1"/>
    </row>
    <row r="50" spans="2:4" ht="15.75">
      <c r="B50" s="1"/>
      <c r="C50" s="1"/>
      <c r="D50" s="1"/>
    </row>
    <row r="51" spans="2:4" ht="15.75">
      <c r="B51" s="1"/>
    </row>
    <row r="52" spans="2:4" ht="15.75">
      <c r="B52" s="1"/>
    </row>
    <row r="54" spans="2:4" ht="15.75">
      <c r="B54" s="10"/>
    </row>
  </sheetData>
  <pageMargins left="0.7" right="0.7" top="0.75" bottom="0.75" header="0.3" footer="0.3"/>
  <pageSetup paperSize="9" orientation="portrait" verticalDpi="0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C34"/>
  <sheetViews>
    <sheetView workbookViewId="0">
      <selection sqref="A1:C37"/>
    </sheetView>
  </sheetViews>
  <sheetFormatPr defaultRowHeight="15"/>
  <cols>
    <col min="1" max="1" width="53" customWidth="1"/>
    <col min="2" max="2" width="13.85546875" customWidth="1"/>
    <col min="3" max="3" width="16.5703125" customWidth="1"/>
  </cols>
  <sheetData>
    <row r="1" spans="1:3" ht="15.75">
      <c r="A1" s="1" t="s">
        <v>0</v>
      </c>
    </row>
    <row r="2" spans="1:3" ht="15.75">
      <c r="A2" s="1" t="s">
        <v>51</v>
      </c>
      <c r="B2" s="1"/>
      <c r="C2" s="1"/>
    </row>
    <row r="3" spans="1:3" ht="15.75">
      <c r="A3" s="1" t="s">
        <v>27</v>
      </c>
      <c r="B3" s="1"/>
      <c r="C3" s="1"/>
    </row>
    <row r="4" spans="1:3" ht="15.75">
      <c r="A4" s="1" t="s">
        <v>28</v>
      </c>
      <c r="B4" s="1"/>
      <c r="C4" s="1"/>
    </row>
    <row r="5" spans="1:3" ht="15.75">
      <c r="A5" s="1" t="s">
        <v>26</v>
      </c>
      <c r="B5" s="1"/>
      <c r="C5" s="1"/>
    </row>
    <row r="6" spans="1:3" ht="15.75">
      <c r="A6" s="1"/>
      <c r="B6" s="1"/>
      <c r="C6" s="1"/>
    </row>
    <row r="7" spans="1:3" ht="15.75">
      <c r="A7" s="1" t="s">
        <v>1</v>
      </c>
      <c r="B7" s="1" t="s">
        <v>2</v>
      </c>
      <c r="C7" s="1" t="s">
        <v>3</v>
      </c>
    </row>
    <row r="8" spans="1:3" ht="15.75">
      <c r="A8" s="1" t="s">
        <v>24</v>
      </c>
      <c r="B8" s="2"/>
      <c r="C8" s="1">
        <v>-155584</v>
      </c>
    </row>
    <row r="9" spans="1:3" ht="15.75">
      <c r="A9" s="1" t="s">
        <v>4</v>
      </c>
      <c r="B9" s="7">
        <f>C9/12</f>
        <v>28108.905833333334</v>
      </c>
      <c r="C9" s="1">
        <v>337306.87</v>
      </c>
    </row>
    <row r="10" spans="1:3" ht="15.75">
      <c r="A10" s="1" t="s">
        <v>31</v>
      </c>
      <c r="B10" s="7">
        <f t="shared" ref="B10:B27" si="0">C10/12</f>
        <v>8422.7474999999995</v>
      </c>
      <c r="C10" s="1">
        <v>101072.97</v>
      </c>
    </row>
    <row r="11" spans="1:3" ht="15.75">
      <c r="A11" s="1" t="s">
        <v>17</v>
      </c>
      <c r="B11" s="7">
        <f t="shared" si="0"/>
        <v>36531.653333333335</v>
      </c>
      <c r="C11" s="1">
        <v>438379.84</v>
      </c>
    </row>
    <row r="12" spans="1:3" ht="15.75">
      <c r="A12" s="1" t="s">
        <v>18</v>
      </c>
      <c r="B12" s="7">
        <f t="shared" si="0"/>
        <v>0</v>
      </c>
      <c r="C12" s="1"/>
    </row>
    <row r="13" spans="1:3" ht="15.75">
      <c r="A13" s="1" t="s">
        <v>25</v>
      </c>
      <c r="B13" s="7">
        <f t="shared" si="0"/>
        <v>12225.014166666668</v>
      </c>
      <c r="C13" s="1">
        <v>146700.17000000001</v>
      </c>
    </row>
    <row r="14" spans="1:3" ht="15.75">
      <c r="A14" s="1" t="s">
        <v>32</v>
      </c>
      <c r="B14" s="7">
        <f t="shared" si="0"/>
        <v>12043.574999999999</v>
      </c>
      <c r="C14" s="1">
        <v>144522.9</v>
      </c>
    </row>
    <row r="15" spans="1:3" ht="15.75">
      <c r="A15" s="1" t="s">
        <v>5</v>
      </c>
      <c r="B15" s="7">
        <f t="shared" si="0"/>
        <v>0</v>
      </c>
      <c r="C15" s="1"/>
    </row>
    <row r="16" spans="1:3" ht="15.75">
      <c r="A16" s="1" t="s">
        <v>6</v>
      </c>
      <c r="B16" s="7">
        <f t="shared" si="0"/>
        <v>8572.25</v>
      </c>
      <c r="C16" s="1">
        <v>102867</v>
      </c>
    </row>
    <row r="17" spans="1:3" ht="15.75">
      <c r="A17" s="1" t="s">
        <v>7</v>
      </c>
      <c r="B17" s="7">
        <f t="shared" si="0"/>
        <v>1932.2</v>
      </c>
      <c r="C17" s="1">
        <v>23186.400000000001</v>
      </c>
    </row>
    <row r="18" spans="1:3" ht="15.75">
      <c r="A18" s="1" t="s">
        <v>8</v>
      </c>
      <c r="B18" s="7">
        <f t="shared" si="0"/>
        <v>164.94166666666666</v>
      </c>
      <c r="C18" s="1">
        <v>1979.3</v>
      </c>
    </row>
    <row r="19" spans="1:3" ht="15.75">
      <c r="A19" s="1" t="s">
        <v>9</v>
      </c>
      <c r="B19" s="7">
        <f t="shared" si="0"/>
        <v>0</v>
      </c>
      <c r="C19" s="1"/>
    </row>
    <row r="20" spans="1:3" ht="15.75">
      <c r="A20" s="1" t="s">
        <v>10</v>
      </c>
      <c r="B20" s="7">
        <f t="shared" si="0"/>
        <v>716.0575</v>
      </c>
      <c r="C20" s="1">
        <v>8592.69</v>
      </c>
    </row>
    <row r="21" spans="1:3" ht="15.75">
      <c r="A21" s="1" t="s">
        <v>11</v>
      </c>
      <c r="B21" s="7">
        <f t="shared" si="0"/>
        <v>1782.8374999999999</v>
      </c>
      <c r="C21" s="1">
        <v>21394.05</v>
      </c>
    </row>
    <row r="22" spans="1:3" ht="15.75">
      <c r="A22" s="1" t="s">
        <v>12</v>
      </c>
      <c r="B22" s="7">
        <f t="shared" si="0"/>
        <v>4140.3900000000003</v>
      </c>
      <c r="C22" s="1">
        <v>49684.68</v>
      </c>
    </row>
    <row r="23" spans="1:3" ht="15.75">
      <c r="A23" s="1" t="s">
        <v>13</v>
      </c>
      <c r="B23" s="7">
        <f t="shared" si="0"/>
        <v>52.330833333333338</v>
      </c>
      <c r="C23" s="1">
        <v>627.97</v>
      </c>
    </row>
    <row r="24" spans="1:3" ht="15.75">
      <c r="A24" s="1" t="s">
        <v>14</v>
      </c>
      <c r="B24" s="7">
        <f t="shared" si="0"/>
        <v>1897.6208333333334</v>
      </c>
      <c r="C24" s="1">
        <v>22771.45</v>
      </c>
    </row>
    <row r="25" spans="1:3" ht="15.75">
      <c r="A25" s="1" t="s">
        <v>29</v>
      </c>
      <c r="B25" s="7">
        <f t="shared" si="0"/>
        <v>204.83166666666668</v>
      </c>
      <c r="C25" s="1">
        <v>2457.98</v>
      </c>
    </row>
    <row r="26" spans="1:3" ht="15.75">
      <c r="A26" s="1" t="s">
        <v>19</v>
      </c>
      <c r="B26" s="7">
        <f t="shared" si="0"/>
        <v>0</v>
      </c>
      <c r="C26" s="1"/>
    </row>
    <row r="27" spans="1:3" ht="15.75">
      <c r="A27" s="1" t="s">
        <v>20</v>
      </c>
      <c r="B27" s="7">
        <f t="shared" si="0"/>
        <v>43732.049166666664</v>
      </c>
      <c r="C27" s="1">
        <f>SUM(C13:C26)</f>
        <v>524784.59</v>
      </c>
    </row>
    <row r="28" spans="1:3" ht="15.75">
      <c r="A28" s="1" t="s">
        <v>15</v>
      </c>
      <c r="B28" s="7"/>
      <c r="C28" s="1"/>
    </row>
    <row r="29" spans="1:3" ht="15.75">
      <c r="A29" s="1" t="s">
        <v>16</v>
      </c>
      <c r="B29" s="7"/>
      <c r="C29" s="1">
        <v>241988.75</v>
      </c>
    </row>
    <row r="30" spans="1:3" ht="15.75">
      <c r="A30" s="1" t="s">
        <v>21</v>
      </c>
      <c r="B30" s="1"/>
      <c r="C30" s="1"/>
    </row>
    <row r="31" spans="1:3" ht="15.75">
      <c r="A31" s="1" t="s">
        <v>56</v>
      </c>
      <c r="B31" s="1"/>
      <c r="C31" s="1"/>
    </row>
    <row r="32" spans="1:3" ht="15.75">
      <c r="A32" s="1" t="s">
        <v>22</v>
      </c>
      <c r="B32" s="1"/>
      <c r="C32" s="1"/>
    </row>
    <row r="33" spans="1:1" ht="15.75">
      <c r="A33" s="1" t="s">
        <v>23</v>
      </c>
    </row>
    <row r="34" spans="1:1" ht="15.75">
      <c r="A34" s="1" t="s">
        <v>30</v>
      </c>
    </row>
  </sheetData>
  <pageMargins left="0.7" right="0.7" top="0.75" bottom="0.75" header="0.3" footer="0.3"/>
  <pageSetup paperSize="9" orientation="portrait" verticalDpi="0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C34"/>
  <sheetViews>
    <sheetView topLeftCell="A2" workbookViewId="0">
      <selection activeCell="A12" sqref="A12:A26"/>
    </sheetView>
  </sheetViews>
  <sheetFormatPr defaultRowHeight="15"/>
  <cols>
    <col min="1" max="1" width="60.28515625" customWidth="1"/>
    <col min="2" max="2" width="13.5703125" customWidth="1"/>
    <col min="3" max="3" width="15.42578125" customWidth="1"/>
  </cols>
  <sheetData>
    <row r="1" spans="1:3" ht="15.75">
      <c r="A1" s="1" t="s">
        <v>0</v>
      </c>
    </row>
    <row r="2" spans="1:3" ht="15.75">
      <c r="A2" s="1" t="s">
        <v>52</v>
      </c>
      <c r="B2" s="1"/>
      <c r="C2" s="1"/>
    </row>
    <row r="3" spans="1:3" ht="15.75">
      <c r="A3" s="1" t="s">
        <v>27</v>
      </c>
      <c r="B3" s="1"/>
      <c r="C3" s="1"/>
    </row>
    <row r="4" spans="1:3" ht="15.75">
      <c r="A4" s="1" t="s">
        <v>28</v>
      </c>
      <c r="B4" s="1"/>
      <c r="C4" s="1"/>
    </row>
    <row r="5" spans="1:3" ht="15.75">
      <c r="A5" s="1" t="s">
        <v>26</v>
      </c>
      <c r="B5" s="1"/>
      <c r="C5" s="1"/>
    </row>
    <row r="6" spans="1:3" ht="15.75">
      <c r="A6" s="1"/>
      <c r="B6" s="1"/>
      <c r="C6" s="1"/>
    </row>
    <row r="7" spans="1:3" ht="15.75">
      <c r="A7" s="1" t="s">
        <v>1</v>
      </c>
      <c r="B7" s="1" t="s">
        <v>2</v>
      </c>
      <c r="C7" s="1" t="s">
        <v>3</v>
      </c>
    </row>
    <row r="8" spans="1:3" ht="15.75">
      <c r="A8" s="1" t="s">
        <v>24</v>
      </c>
      <c r="B8" s="2"/>
      <c r="C8" s="1">
        <v>-95225.600000000006</v>
      </c>
    </row>
    <row r="9" spans="1:3" ht="15.75">
      <c r="A9" s="1" t="s">
        <v>4</v>
      </c>
      <c r="B9" s="7">
        <f>C9/12</f>
        <v>32051.09</v>
      </c>
      <c r="C9" s="1">
        <v>384613.08</v>
      </c>
    </row>
    <row r="10" spans="1:3" ht="15.75">
      <c r="A10" s="1" t="s">
        <v>31</v>
      </c>
      <c r="B10" s="7">
        <f t="shared" ref="B10:B27" si="0">C10/12</f>
        <v>7807.4633333333331</v>
      </c>
      <c r="C10" s="1">
        <v>93689.56</v>
      </c>
    </row>
    <row r="11" spans="1:3" ht="15.75">
      <c r="A11" s="1" t="s">
        <v>17</v>
      </c>
      <c r="B11" s="7">
        <f t="shared" si="0"/>
        <v>39858.553333333337</v>
      </c>
      <c r="C11" s="1">
        <v>478302.64</v>
      </c>
    </row>
    <row r="12" spans="1:3" ht="15.75">
      <c r="A12" s="1" t="s">
        <v>18</v>
      </c>
      <c r="B12" s="7">
        <f t="shared" si="0"/>
        <v>0</v>
      </c>
      <c r="C12" s="1"/>
    </row>
    <row r="13" spans="1:3" ht="15.75">
      <c r="A13" s="1" t="s">
        <v>25</v>
      </c>
      <c r="B13" s="7">
        <f t="shared" si="0"/>
        <v>12712.145833333334</v>
      </c>
      <c r="C13" s="1">
        <v>152545.75</v>
      </c>
    </row>
    <row r="14" spans="1:3" ht="15.75">
      <c r="A14" s="1" t="s">
        <v>32</v>
      </c>
      <c r="B14" s="7">
        <f t="shared" si="0"/>
        <v>10524.032499999999</v>
      </c>
      <c r="C14" s="1">
        <v>126288.39</v>
      </c>
    </row>
    <row r="15" spans="1:3" ht="15.75">
      <c r="A15" s="1" t="s">
        <v>5</v>
      </c>
      <c r="B15" s="7">
        <f t="shared" si="0"/>
        <v>4999.41</v>
      </c>
      <c r="C15" s="1">
        <v>59992.92</v>
      </c>
    </row>
    <row r="16" spans="1:3" ht="15.75">
      <c r="A16" s="1" t="s">
        <v>6</v>
      </c>
      <c r="B16" s="7">
        <f t="shared" si="0"/>
        <v>4425.708333333333</v>
      </c>
      <c r="C16" s="1">
        <v>53108.5</v>
      </c>
    </row>
    <row r="17" spans="1:3" ht="15.75">
      <c r="A17" s="1" t="s">
        <v>7</v>
      </c>
      <c r="B17" s="7">
        <f t="shared" si="0"/>
        <v>1974.115</v>
      </c>
      <c r="C17" s="1">
        <v>23689.38</v>
      </c>
    </row>
    <row r="18" spans="1:3" ht="15.75">
      <c r="A18" s="1" t="s">
        <v>8</v>
      </c>
      <c r="B18" s="7">
        <f t="shared" si="0"/>
        <v>71.851666666666674</v>
      </c>
      <c r="C18" s="1">
        <v>862.22</v>
      </c>
    </row>
    <row r="19" spans="1:3" ht="15.75">
      <c r="A19" s="1" t="s">
        <v>9</v>
      </c>
      <c r="B19" s="7">
        <f t="shared" si="0"/>
        <v>2601.5583333333334</v>
      </c>
      <c r="C19" s="1">
        <v>31218.7</v>
      </c>
    </row>
    <row r="20" spans="1:3" ht="15.75">
      <c r="A20" s="1" t="s">
        <v>10</v>
      </c>
      <c r="B20" s="7">
        <f t="shared" si="0"/>
        <v>698.15583333333336</v>
      </c>
      <c r="C20" s="1">
        <v>8377.8700000000008</v>
      </c>
    </row>
    <row r="21" spans="1:3" ht="15.75">
      <c r="A21" s="1" t="s">
        <v>11</v>
      </c>
      <c r="B21" s="7">
        <f t="shared" si="0"/>
        <v>2036.92</v>
      </c>
      <c r="C21" s="1">
        <v>24443.040000000001</v>
      </c>
    </row>
    <row r="22" spans="1:3" ht="15.75">
      <c r="A22" s="1" t="s">
        <v>12</v>
      </c>
      <c r="B22" s="7">
        <f t="shared" si="0"/>
        <v>4305.3725000000004</v>
      </c>
      <c r="C22" s="1">
        <v>51664.47</v>
      </c>
    </row>
    <row r="23" spans="1:3" ht="15.75">
      <c r="A23" s="1" t="s">
        <v>13</v>
      </c>
      <c r="B23" s="7">
        <f t="shared" si="0"/>
        <v>86.252499999999998</v>
      </c>
      <c r="C23" s="1">
        <v>1035.03</v>
      </c>
    </row>
    <row r="24" spans="1:3" ht="15.75">
      <c r="A24" s="1" t="s">
        <v>14</v>
      </c>
      <c r="B24" s="7">
        <f t="shared" si="0"/>
        <v>2070.4349999999999</v>
      </c>
      <c r="C24" s="1">
        <v>24845.22</v>
      </c>
    </row>
    <row r="25" spans="1:3" ht="15.75">
      <c r="A25" s="1" t="s">
        <v>29</v>
      </c>
      <c r="B25" s="7">
        <f t="shared" si="0"/>
        <v>97.724166666666676</v>
      </c>
      <c r="C25" s="1">
        <v>1172.69</v>
      </c>
    </row>
    <row r="26" spans="1:3" ht="15.75">
      <c r="A26" s="1" t="s">
        <v>19</v>
      </c>
      <c r="B26" s="7">
        <f t="shared" si="0"/>
        <v>2906.2175000000002</v>
      </c>
      <c r="C26" s="1">
        <v>34874.61</v>
      </c>
    </row>
    <row r="27" spans="1:3" ht="15.75">
      <c r="A27" s="1" t="s">
        <v>20</v>
      </c>
      <c r="B27" s="7">
        <f t="shared" si="0"/>
        <v>49509.899166666662</v>
      </c>
      <c r="C27" s="1">
        <f>SUM(C13:C26)</f>
        <v>594118.78999999992</v>
      </c>
    </row>
    <row r="28" spans="1:3" ht="15.75">
      <c r="A28" s="1" t="s">
        <v>15</v>
      </c>
      <c r="B28" s="7"/>
      <c r="C28" s="1"/>
    </row>
    <row r="29" spans="1:3" ht="15.75">
      <c r="A29" s="1" t="s">
        <v>16</v>
      </c>
      <c r="B29" s="7"/>
      <c r="C29" s="1">
        <v>211041.75</v>
      </c>
    </row>
    <row r="30" spans="1:3" ht="15.75">
      <c r="A30" s="1" t="s">
        <v>21</v>
      </c>
      <c r="B30" s="1"/>
      <c r="C30" s="1"/>
    </row>
    <row r="31" spans="1:3" ht="15.75">
      <c r="A31" s="1" t="s">
        <v>57</v>
      </c>
      <c r="B31" s="1"/>
      <c r="C31" s="1"/>
    </row>
    <row r="32" spans="1:3" ht="15.75">
      <c r="A32" s="1" t="s">
        <v>22</v>
      </c>
      <c r="B32" s="1"/>
      <c r="C32" s="1"/>
    </row>
    <row r="33" spans="1:1" ht="15.75">
      <c r="A33" s="1" t="s">
        <v>23</v>
      </c>
    </row>
    <row r="34" spans="1:1" ht="15.75">
      <c r="A34" s="1" t="s">
        <v>30</v>
      </c>
    </row>
  </sheetData>
  <pageMargins left="0.7" right="0.7" top="0.75" bottom="0.75" header="0.3" footer="0.3"/>
  <pageSetup paperSize="9" orientation="portrait" verticalDpi="0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C34"/>
  <sheetViews>
    <sheetView topLeftCell="A4" workbookViewId="0">
      <selection activeCell="E24" sqref="E24"/>
    </sheetView>
  </sheetViews>
  <sheetFormatPr defaultRowHeight="15"/>
  <cols>
    <col min="1" max="1" width="53.28515625" customWidth="1"/>
    <col min="2" max="2" width="14.42578125" customWidth="1"/>
    <col min="3" max="3" width="15.140625" customWidth="1"/>
  </cols>
  <sheetData>
    <row r="1" spans="1:3" ht="15.75">
      <c r="A1" s="1" t="s">
        <v>0</v>
      </c>
    </row>
    <row r="2" spans="1:3" ht="15.75">
      <c r="A2" s="1" t="s">
        <v>53</v>
      </c>
      <c r="B2" s="1"/>
      <c r="C2" s="1"/>
    </row>
    <row r="3" spans="1:3" ht="15.75">
      <c r="A3" s="1" t="s">
        <v>27</v>
      </c>
      <c r="B3" s="1"/>
      <c r="C3" s="1"/>
    </row>
    <row r="4" spans="1:3" ht="15.75">
      <c r="A4" s="1" t="s">
        <v>28</v>
      </c>
      <c r="B4" s="1"/>
      <c r="C4" s="1"/>
    </row>
    <row r="5" spans="1:3" ht="15.75">
      <c r="A5" s="1" t="s">
        <v>26</v>
      </c>
      <c r="B5" s="1"/>
      <c r="C5" s="1"/>
    </row>
    <row r="6" spans="1:3" ht="15.75">
      <c r="A6" s="1"/>
      <c r="B6" s="1"/>
      <c r="C6" s="1"/>
    </row>
    <row r="7" spans="1:3" ht="15.75">
      <c r="A7" s="1" t="s">
        <v>1</v>
      </c>
      <c r="B7" s="1" t="s">
        <v>2</v>
      </c>
      <c r="C7" s="1" t="s">
        <v>3</v>
      </c>
    </row>
    <row r="8" spans="1:3" ht="15.75">
      <c r="A8" s="1" t="s">
        <v>24</v>
      </c>
      <c r="B8" s="2"/>
      <c r="C8" s="1">
        <v>-159264.29999999999</v>
      </c>
    </row>
    <row r="9" spans="1:3" ht="15.75">
      <c r="A9" s="1" t="s">
        <v>4</v>
      </c>
      <c r="B9" s="7">
        <f>C9/12</f>
        <v>32153.747499999998</v>
      </c>
      <c r="C9" s="1">
        <v>385844.97</v>
      </c>
    </row>
    <row r="10" spans="1:3" ht="15.75">
      <c r="A10" s="1" t="s">
        <v>31</v>
      </c>
      <c r="B10" s="7">
        <f t="shared" ref="B10:B27" si="0">C10/12</f>
        <v>875</v>
      </c>
      <c r="C10" s="1">
        <v>10500</v>
      </c>
    </row>
    <row r="11" spans="1:3" ht="15.75">
      <c r="A11" s="1" t="s">
        <v>17</v>
      </c>
      <c r="B11" s="7">
        <f t="shared" si="0"/>
        <v>33028.747499999998</v>
      </c>
      <c r="C11" s="1">
        <v>396344.97</v>
      </c>
    </row>
    <row r="12" spans="1:3" ht="15.75">
      <c r="A12" s="1" t="s">
        <v>18</v>
      </c>
      <c r="B12" s="7">
        <f t="shared" si="0"/>
        <v>0</v>
      </c>
      <c r="C12" s="1"/>
    </row>
    <row r="13" spans="1:3" ht="15.75">
      <c r="A13" s="1" t="s">
        <v>25</v>
      </c>
      <c r="B13" s="7">
        <f t="shared" si="0"/>
        <v>11757.211666666668</v>
      </c>
      <c r="C13" s="1">
        <v>141086.54</v>
      </c>
    </row>
    <row r="14" spans="1:3" ht="15.75">
      <c r="A14" s="1" t="s">
        <v>32</v>
      </c>
      <c r="B14" s="7">
        <f t="shared" si="0"/>
        <v>12973.343333333332</v>
      </c>
      <c r="C14" s="1">
        <v>155680.12</v>
      </c>
    </row>
    <row r="15" spans="1:3" ht="15.75">
      <c r="A15" s="1" t="s">
        <v>5</v>
      </c>
      <c r="B15" s="7">
        <f t="shared" si="0"/>
        <v>5319.8850000000002</v>
      </c>
      <c r="C15" s="1">
        <v>63838.62</v>
      </c>
    </row>
    <row r="16" spans="1:3" ht="15.75">
      <c r="A16" s="1" t="s">
        <v>6</v>
      </c>
      <c r="B16" s="7">
        <f t="shared" si="0"/>
        <v>3553.9583333333335</v>
      </c>
      <c r="C16" s="1">
        <v>42647.5</v>
      </c>
    </row>
    <row r="17" spans="1:3" ht="15.75">
      <c r="A17" s="1" t="s">
        <v>7</v>
      </c>
      <c r="B17" s="7">
        <f t="shared" si="0"/>
        <v>1754.2950000000001</v>
      </c>
      <c r="C17" s="1">
        <v>21051.54</v>
      </c>
    </row>
    <row r="18" spans="1:3" ht="15.75">
      <c r="A18" s="1" t="s">
        <v>8</v>
      </c>
      <c r="B18" s="7">
        <f t="shared" si="0"/>
        <v>63.818333333333335</v>
      </c>
      <c r="C18" s="1">
        <v>765.82</v>
      </c>
    </row>
    <row r="19" spans="1:3" ht="15.75">
      <c r="A19" s="1" t="s">
        <v>9</v>
      </c>
      <c r="B19" s="7">
        <f t="shared" si="0"/>
        <v>0</v>
      </c>
      <c r="C19" s="1"/>
    </row>
    <row r="20" spans="1:3" ht="15.75">
      <c r="A20" s="1" t="s">
        <v>10</v>
      </c>
      <c r="B20" s="7">
        <f t="shared" si="0"/>
        <v>742.90916666666669</v>
      </c>
      <c r="C20" s="1">
        <v>8914.91</v>
      </c>
    </row>
    <row r="21" spans="1:3" ht="15.75">
      <c r="A21" s="1" t="s">
        <v>11</v>
      </c>
      <c r="B21" s="7">
        <f t="shared" si="0"/>
        <v>2044.8</v>
      </c>
      <c r="C21" s="1">
        <v>24537.599999999999</v>
      </c>
    </row>
    <row r="22" spans="1:3" ht="15.75">
      <c r="A22" s="1" t="s">
        <v>12</v>
      </c>
      <c r="B22" s="7">
        <f t="shared" si="0"/>
        <v>3981.9533333333334</v>
      </c>
      <c r="C22" s="1">
        <v>47783.44</v>
      </c>
    </row>
    <row r="23" spans="1:3" ht="15.75">
      <c r="A23" s="1" t="s">
        <v>13</v>
      </c>
      <c r="B23" s="7">
        <f t="shared" si="0"/>
        <v>60.313333333333333</v>
      </c>
      <c r="C23" s="1">
        <v>723.76</v>
      </c>
    </row>
    <row r="24" spans="1:3" ht="15.75">
      <c r="A24" s="1" t="s">
        <v>14</v>
      </c>
      <c r="B24" s="7">
        <f t="shared" si="0"/>
        <v>1715.6641666666667</v>
      </c>
      <c r="C24" s="1">
        <v>20587.97</v>
      </c>
    </row>
    <row r="25" spans="1:3" ht="15.75">
      <c r="A25" s="1" t="s">
        <v>29</v>
      </c>
      <c r="B25" s="7">
        <f t="shared" si="0"/>
        <v>98.352500000000006</v>
      </c>
      <c r="C25" s="1">
        <v>1180.23</v>
      </c>
    </row>
    <row r="26" spans="1:3" ht="15.75">
      <c r="A26" s="1" t="s">
        <v>19</v>
      </c>
      <c r="B26" s="7">
        <f t="shared" si="0"/>
        <v>82.5</v>
      </c>
      <c r="C26" s="1">
        <v>990</v>
      </c>
    </row>
    <row r="27" spans="1:3" ht="15.75">
      <c r="A27" s="1" t="s">
        <v>20</v>
      </c>
      <c r="B27" s="7">
        <f t="shared" si="0"/>
        <v>44149.004166666658</v>
      </c>
      <c r="C27" s="1">
        <f>SUM(C13:C26)</f>
        <v>529788.04999999993</v>
      </c>
    </row>
    <row r="28" spans="1:3" ht="15.75">
      <c r="A28" s="1" t="s">
        <v>15</v>
      </c>
      <c r="B28" s="7"/>
      <c r="C28" s="1"/>
    </row>
    <row r="29" spans="1:3" ht="15.75">
      <c r="A29" s="1" t="s">
        <v>16</v>
      </c>
      <c r="B29" s="7"/>
      <c r="C29" s="1">
        <v>292707.38</v>
      </c>
    </row>
    <row r="30" spans="1:3" ht="15.75">
      <c r="A30" s="1" t="s">
        <v>21</v>
      </c>
      <c r="B30" s="1"/>
      <c r="C30" s="1"/>
    </row>
    <row r="31" spans="1:3" ht="15.75">
      <c r="A31" s="1" t="s">
        <v>58</v>
      </c>
      <c r="B31" s="1"/>
      <c r="C31" s="1"/>
    </row>
    <row r="32" spans="1:3" ht="15.75">
      <c r="A32" s="1" t="s">
        <v>22</v>
      </c>
      <c r="B32" s="1"/>
      <c r="C32" s="1"/>
    </row>
    <row r="33" spans="1:1" ht="15.75">
      <c r="A33" s="1" t="s">
        <v>23</v>
      </c>
    </row>
    <row r="34" spans="1:1" ht="15.75">
      <c r="A34" s="1" t="s">
        <v>30</v>
      </c>
    </row>
  </sheetData>
  <pageMargins left="0.7" right="0.7" top="0.75" bottom="0.75" header="0.3" footer="0.3"/>
  <pageSetup paperSize="9" orientation="portrait" verticalDpi="0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C34"/>
  <sheetViews>
    <sheetView topLeftCell="A16" workbookViewId="0">
      <selection activeCell="E26" sqref="E26"/>
    </sheetView>
  </sheetViews>
  <sheetFormatPr defaultRowHeight="15"/>
  <cols>
    <col min="1" max="1" width="53.5703125" customWidth="1"/>
    <col min="2" max="3" width="14.28515625" customWidth="1"/>
  </cols>
  <sheetData>
    <row r="1" spans="1:3" ht="15.75">
      <c r="A1" s="1" t="s">
        <v>0</v>
      </c>
    </row>
    <row r="2" spans="1:3" ht="15.75">
      <c r="A2" s="1" t="s">
        <v>54</v>
      </c>
      <c r="B2" s="1"/>
      <c r="C2" s="1"/>
    </row>
    <row r="3" spans="1:3" ht="15.75">
      <c r="A3" s="1" t="s">
        <v>27</v>
      </c>
      <c r="B3" s="1"/>
      <c r="C3" s="1"/>
    </row>
    <row r="4" spans="1:3" ht="15.75">
      <c r="A4" s="1" t="s">
        <v>28</v>
      </c>
      <c r="B4" s="1"/>
      <c r="C4" s="1"/>
    </row>
    <row r="5" spans="1:3" ht="15.75">
      <c r="A5" s="1" t="s">
        <v>26</v>
      </c>
      <c r="B5" s="1"/>
      <c r="C5" s="1"/>
    </row>
    <row r="6" spans="1:3" ht="15.75">
      <c r="A6" s="1"/>
      <c r="B6" s="1"/>
      <c r="C6" s="1"/>
    </row>
    <row r="7" spans="1:3" ht="15.75">
      <c r="A7" s="1" t="s">
        <v>1</v>
      </c>
      <c r="B7" s="1" t="s">
        <v>2</v>
      </c>
      <c r="C7" s="1" t="s">
        <v>3</v>
      </c>
    </row>
    <row r="8" spans="1:3" ht="15.75">
      <c r="A8" s="1" t="s">
        <v>24</v>
      </c>
      <c r="B8" s="2"/>
      <c r="C8" s="1">
        <v>-26761.91</v>
      </c>
    </row>
    <row r="9" spans="1:3" ht="15.75">
      <c r="A9" s="1" t="s">
        <v>4</v>
      </c>
      <c r="B9" s="7">
        <f>C9/12</f>
        <v>70662.863333333327</v>
      </c>
      <c r="C9" s="1">
        <v>847954.36</v>
      </c>
    </row>
    <row r="10" spans="1:3" ht="15.75">
      <c r="A10" s="1" t="s">
        <v>31</v>
      </c>
      <c r="B10" s="7">
        <f t="shared" ref="B10:B27" si="0">C10/12</f>
        <v>12431.675000000001</v>
      </c>
      <c r="C10" s="1">
        <v>149180.1</v>
      </c>
    </row>
    <row r="11" spans="1:3" ht="15.75">
      <c r="A11" s="1" t="s">
        <v>17</v>
      </c>
      <c r="B11" s="7">
        <f t="shared" si="0"/>
        <v>83094.53833333333</v>
      </c>
      <c r="C11" s="1">
        <v>997134.46</v>
      </c>
    </row>
    <row r="12" spans="1:3" ht="15.75">
      <c r="A12" s="1" t="s">
        <v>18</v>
      </c>
      <c r="B12" s="7">
        <f t="shared" si="0"/>
        <v>0</v>
      </c>
      <c r="C12" s="1"/>
    </row>
    <row r="13" spans="1:3" ht="15.75">
      <c r="A13" s="1" t="s">
        <v>25</v>
      </c>
      <c r="B13" s="7">
        <f t="shared" si="0"/>
        <v>28757.875</v>
      </c>
      <c r="C13" s="1">
        <v>345094.5</v>
      </c>
    </row>
    <row r="14" spans="1:3" ht="15.75">
      <c r="A14" s="1" t="s">
        <v>32</v>
      </c>
      <c r="B14" s="7">
        <f t="shared" si="0"/>
        <v>25912.415833333333</v>
      </c>
      <c r="C14" s="1">
        <v>310948.99</v>
      </c>
    </row>
    <row r="15" spans="1:3" ht="15.75">
      <c r="A15" s="1" t="s">
        <v>5</v>
      </c>
      <c r="B15" s="7">
        <f t="shared" si="0"/>
        <v>0</v>
      </c>
      <c r="C15" s="1"/>
    </row>
    <row r="16" spans="1:3" ht="15.75">
      <c r="A16" s="1" t="s">
        <v>6</v>
      </c>
      <c r="B16" s="7">
        <f t="shared" si="0"/>
        <v>6872.333333333333</v>
      </c>
      <c r="C16" s="1">
        <v>82468</v>
      </c>
    </row>
    <row r="17" spans="1:3" ht="15.75">
      <c r="A17" s="1" t="s">
        <v>7</v>
      </c>
      <c r="B17" s="7">
        <f t="shared" si="0"/>
        <v>4552.4449999999997</v>
      </c>
      <c r="C17" s="1">
        <v>54629.34</v>
      </c>
    </row>
    <row r="18" spans="1:3" ht="15.75">
      <c r="A18" s="1" t="s">
        <v>8</v>
      </c>
      <c r="B18" s="7">
        <f t="shared" si="0"/>
        <v>335.24666666666667</v>
      </c>
      <c r="C18" s="1">
        <v>4022.96</v>
      </c>
    </row>
    <row r="19" spans="1:3" ht="15.75">
      <c r="A19" s="1" t="s">
        <v>9</v>
      </c>
      <c r="B19" s="7">
        <f t="shared" si="0"/>
        <v>0</v>
      </c>
      <c r="C19" s="1"/>
    </row>
    <row r="20" spans="1:3" ht="15.75">
      <c r="A20" s="1" t="s">
        <v>10</v>
      </c>
      <c r="B20" s="7">
        <f t="shared" si="0"/>
        <v>1808.0441666666666</v>
      </c>
      <c r="C20" s="1">
        <v>21696.53</v>
      </c>
    </row>
    <row r="21" spans="1:3" ht="15.75">
      <c r="A21" s="1" t="s">
        <v>11</v>
      </c>
      <c r="B21" s="7">
        <f t="shared" si="0"/>
        <v>4477.8375000000005</v>
      </c>
      <c r="C21" s="1">
        <v>53734.05</v>
      </c>
    </row>
    <row r="22" spans="1:3" ht="15.75">
      <c r="A22" s="1" t="s">
        <v>12</v>
      </c>
      <c r="B22" s="7">
        <f t="shared" si="0"/>
        <v>9739.7683333333334</v>
      </c>
      <c r="C22" s="1">
        <v>116877.22</v>
      </c>
    </row>
    <row r="23" spans="1:3" ht="15.75">
      <c r="A23" s="1" t="s">
        <v>13</v>
      </c>
      <c r="B23" s="7">
        <f t="shared" si="0"/>
        <v>205.99249999999998</v>
      </c>
      <c r="C23" s="1">
        <v>2471.91</v>
      </c>
    </row>
    <row r="24" spans="1:3" ht="15.75">
      <c r="A24" s="1" t="s">
        <v>14</v>
      </c>
      <c r="B24" s="7">
        <f t="shared" si="0"/>
        <v>4316.3091666666669</v>
      </c>
      <c r="C24" s="1">
        <v>51795.71</v>
      </c>
    </row>
    <row r="25" spans="1:3" ht="15.75">
      <c r="A25" s="1" t="s">
        <v>29</v>
      </c>
      <c r="B25" s="7">
        <f t="shared" si="0"/>
        <v>608.83916666666664</v>
      </c>
      <c r="C25" s="1">
        <v>7306.07</v>
      </c>
    </row>
    <row r="26" spans="1:3" ht="15.75">
      <c r="A26" s="1" t="s">
        <v>19</v>
      </c>
      <c r="B26" s="7">
        <f t="shared" si="0"/>
        <v>0</v>
      </c>
      <c r="C26" s="1"/>
    </row>
    <row r="27" spans="1:3" ht="15.75">
      <c r="A27" s="1" t="s">
        <v>20</v>
      </c>
      <c r="B27" s="7">
        <f t="shared" si="0"/>
        <v>87587.106666666674</v>
      </c>
      <c r="C27" s="1">
        <f>SUM(C13:C26)</f>
        <v>1051045.28</v>
      </c>
    </row>
    <row r="28" spans="1:3" ht="15.75">
      <c r="A28" s="1" t="s">
        <v>15</v>
      </c>
      <c r="B28" s="7"/>
      <c r="C28" s="1"/>
    </row>
    <row r="29" spans="1:3" ht="15.75">
      <c r="A29" s="1" t="s">
        <v>16</v>
      </c>
      <c r="B29" s="7"/>
      <c r="C29" s="1">
        <v>80672.740000000005</v>
      </c>
    </row>
    <row r="30" spans="1:3" ht="15.75">
      <c r="A30" s="1" t="s">
        <v>21</v>
      </c>
      <c r="B30" s="1"/>
      <c r="C30" s="1"/>
    </row>
    <row r="31" spans="1:3" ht="15.75">
      <c r="A31" s="1" t="s">
        <v>59</v>
      </c>
      <c r="B31" s="1"/>
      <c r="C31" s="1"/>
    </row>
    <row r="32" spans="1:3" ht="15.75">
      <c r="A32" s="1" t="s">
        <v>22</v>
      </c>
      <c r="B32" s="1"/>
      <c r="C32" s="1"/>
    </row>
    <row r="33" spans="1:1" ht="15.75">
      <c r="A33" s="1" t="s">
        <v>23</v>
      </c>
    </row>
    <row r="34" spans="1:1" ht="15.75">
      <c r="A34" s="1" t="s">
        <v>30</v>
      </c>
    </row>
  </sheetData>
  <pageMargins left="0.7" right="0.7" top="0.75" bottom="0.75" header="0.3" footer="0.3"/>
  <pageSetup paperSize="9" orientation="portrait" verticalDpi="0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C34"/>
  <sheetViews>
    <sheetView workbookViewId="0">
      <selection activeCell="F33" sqref="F33"/>
    </sheetView>
  </sheetViews>
  <sheetFormatPr defaultRowHeight="15"/>
  <cols>
    <col min="1" max="1" width="52.85546875" customWidth="1"/>
    <col min="2" max="2" width="13.7109375" customWidth="1"/>
    <col min="3" max="3" width="15.42578125" customWidth="1"/>
  </cols>
  <sheetData>
    <row r="1" spans="1:3" ht="15.75">
      <c r="A1" s="1" t="s">
        <v>0</v>
      </c>
    </row>
    <row r="2" spans="1:3" ht="15.75">
      <c r="A2" s="1" t="s">
        <v>55</v>
      </c>
      <c r="B2" s="1"/>
      <c r="C2" s="1"/>
    </row>
    <row r="3" spans="1:3" ht="15.75">
      <c r="A3" s="1" t="s">
        <v>27</v>
      </c>
      <c r="B3" s="1"/>
      <c r="C3" s="1"/>
    </row>
    <row r="4" spans="1:3" ht="15.75">
      <c r="A4" s="1" t="s">
        <v>28</v>
      </c>
      <c r="B4" s="1"/>
      <c r="C4" s="1"/>
    </row>
    <row r="5" spans="1:3" ht="15.75">
      <c r="A5" s="1" t="s">
        <v>26</v>
      </c>
      <c r="B5" s="1"/>
      <c r="C5" s="1"/>
    </row>
    <row r="6" spans="1:3" ht="15.75">
      <c r="A6" s="1"/>
      <c r="B6" s="1"/>
      <c r="C6" s="1"/>
    </row>
    <row r="7" spans="1:3" ht="15.75">
      <c r="A7" s="1" t="s">
        <v>1</v>
      </c>
      <c r="B7" s="1" t="s">
        <v>2</v>
      </c>
      <c r="C7" s="1" t="s">
        <v>3</v>
      </c>
    </row>
    <row r="8" spans="1:3" ht="15.75">
      <c r="A8" s="1" t="s">
        <v>24</v>
      </c>
      <c r="B8" s="2"/>
      <c r="C8" s="1">
        <v>-90052.91</v>
      </c>
    </row>
    <row r="9" spans="1:3" ht="15.75">
      <c r="A9" s="1" t="s">
        <v>4</v>
      </c>
      <c r="B9" s="7">
        <f>C9/12</f>
        <v>43023.781666666669</v>
      </c>
      <c r="C9" s="1">
        <v>516285.38</v>
      </c>
    </row>
    <row r="10" spans="1:3" ht="15.75">
      <c r="A10" s="1" t="s">
        <v>31</v>
      </c>
      <c r="B10" s="7">
        <f t="shared" ref="B10:B27" si="0">C10/12</f>
        <v>2250</v>
      </c>
      <c r="C10" s="1">
        <v>27000</v>
      </c>
    </row>
    <row r="11" spans="1:3" ht="15.75">
      <c r="A11" s="1" t="s">
        <v>17</v>
      </c>
      <c r="B11" s="7">
        <f t="shared" si="0"/>
        <v>45273.781666666669</v>
      </c>
      <c r="C11" s="1">
        <v>543285.38</v>
      </c>
    </row>
    <row r="12" spans="1:3" ht="15.75">
      <c r="A12" s="1" t="s">
        <v>18</v>
      </c>
      <c r="B12" s="7">
        <f t="shared" si="0"/>
        <v>0</v>
      </c>
      <c r="C12" s="1"/>
    </row>
    <row r="13" spans="1:3" ht="15.75">
      <c r="A13" s="1" t="s">
        <v>25</v>
      </c>
      <c r="B13" s="7">
        <f t="shared" si="0"/>
        <v>15443.115</v>
      </c>
      <c r="C13" s="1">
        <v>185317.38</v>
      </c>
    </row>
    <row r="14" spans="1:3" ht="15.75">
      <c r="A14" s="1" t="s">
        <v>32</v>
      </c>
      <c r="B14" s="7">
        <f t="shared" si="0"/>
        <v>11160.695833333333</v>
      </c>
      <c r="C14" s="1">
        <v>133928.35</v>
      </c>
    </row>
    <row r="15" spans="1:3" ht="15.75">
      <c r="A15" s="1" t="s">
        <v>5</v>
      </c>
      <c r="B15" s="7">
        <f t="shared" si="0"/>
        <v>0</v>
      </c>
      <c r="C15" s="1"/>
    </row>
    <row r="16" spans="1:3" ht="15.75">
      <c r="A16" s="1" t="s">
        <v>6</v>
      </c>
      <c r="B16" s="7">
        <f t="shared" si="0"/>
        <v>3376.3333333333335</v>
      </c>
      <c r="C16" s="1">
        <v>40516</v>
      </c>
    </row>
    <row r="17" spans="1:3" ht="15.75">
      <c r="A17" s="1" t="s">
        <v>7</v>
      </c>
      <c r="B17" s="7">
        <f t="shared" si="0"/>
        <v>2443.9500000000003</v>
      </c>
      <c r="C17" s="1">
        <v>29327.4</v>
      </c>
    </row>
    <row r="18" spans="1:3" ht="15.75">
      <c r="A18" s="1" t="s">
        <v>8</v>
      </c>
      <c r="B18" s="7">
        <f t="shared" si="0"/>
        <v>197.87666666666667</v>
      </c>
      <c r="C18" s="1">
        <v>2374.52</v>
      </c>
    </row>
    <row r="19" spans="1:3" ht="15.75">
      <c r="A19" s="1" t="s">
        <v>9</v>
      </c>
      <c r="B19" s="7">
        <f t="shared" si="0"/>
        <v>0</v>
      </c>
      <c r="C19" s="1"/>
    </row>
    <row r="20" spans="1:3" ht="15.75">
      <c r="A20" s="1" t="s">
        <v>10</v>
      </c>
      <c r="B20" s="7">
        <f t="shared" si="0"/>
        <v>1109.8883333333333</v>
      </c>
      <c r="C20" s="1">
        <v>13318.66</v>
      </c>
    </row>
    <row r="21" spans="1:3" ht="15.75">
      <c r="A21" s="1" t="s">
        <v>11</v>
      </c>
      <c r="B21" s="7">
        <f t="shared" si="0"/>
        <v>2728.7091666666665</v>
      </c>
      <c r="C21" s="1">
        <v>32744.51</v>
      </c>
    </row>
    <row r="22" spans="1:3" ht="15.75">
      <c r="A22" s="1" t="s">
        <v>12</v>
      </c>
      <c r="B22" s="7">
        <f t="shared" si="0"/>
        <v>5230.3016666666672</v>
      </c>
      <c r="C22" s="1">
        <v>62763.62</v>
      </c>
    </row>
    <row r="23" spans="1:3" ht="15.75">
      <c r="A23" s="1" t="s">
        <v>13</v>
      </c>
      <c r="B23" s="7">
        <f t="shared" si="0"/>
        <v>119.29666666666667</v>
      </c>
      <c r="C23" s="1">
        <v>1431.56</v>
      </c>
    </row>
    <row r="24" spans="1:3" ht="15.75">
      <c r="A24" s="1" t="s">
        <v>14</v>
      </c>
      <c r="B24" s="7">
        <f t="shared" si="0"/>
        <v>2351.7266666666669</v>
      </c>
      <c r="C24" s="1">
        <v>28220.720000000001</v>
      </c>
    </row>
    <row r="25" spans="1:3" ht="15.75">
      <c r="A25" s="1" t="s">
        <v>29</v>
      </c>
      <c r="B25" s="7">
        <f t="shared" si="0"/>
        <v>412.46083333333331</v>
      </c>
      <c r="C25" s="1">
        <v>4949.53</v>
      </c>
    </row>
    <row r="26" spans="1:3" ht="15.75">
      <c r="A26" s="1" t="s">
        <v>19</v>
      </c>
      <c r="B26" s="7">
        <f t="shared" si="0"/>
        <v>0</v>
      </c>
      <c r="C26" s="1"/>
    </row>
    <row r="27" spans="1:3" ht="15.75">
      <c r="A27" s="1" t="s">
        <v>20</v>
      </c>
      <c r="B27" s="7">
        <f t="shared" si="0"/>
        <v>44574.354166666664</v>
      </c>
      <c r="C27" s="1">
        <f>SUM(C13:C26)</f>
        <v>534892.25</v>
      </c>
    </row>
    <row r="28" spans="1:3" ht="15.75">
      <c r="A28" s="1" t="s">
        <v>15</v>
      </c>
      <c r="B28" s="7"/>
      <c r="C28" s="1"/>
    </row>
    <row r="29" spans="1:3" ht="15.75">
      <c r="A29" s="1" t="s">
        <v>16</v>
      </c>
      <c r="B29" s="7"/>
      <c r="C29" s="1">
        <v>81659.78</v>
      </c>
    </row>
    <row r="30" spans="1:3" ht="15.75">
      <c r="A30" s="1" t="s">
        <v>21</v>
      </c>
      <c r="B30" s="1"/>
      <c r="C30" s="1"/>
    </row>
    <row r="31" spans="1:3" ht="15.75">
      <c r="A31" s="1" t="s">
        <v>60</v>
      </c>
      <c r="B31" s="1"/>
      <c r="C31" s="1"/>
    </row>
    <row r="32" spans="1:3" ht="15.75">
      <c r="A32" s="1" t="s">
        <v>22</v>
      </c>
      <c r="B32" s="1"/>
      <c r="C32" s="1"/>
    </row>
    <row r="33" spans="1:1" ht="15.75">
      <c r="A33" s="1" t="s">
        <v>23</v>
      </c>
    </row>
    <row r="34" spans="1:1" ht="15.75">
      <c r="A34" s="1" t="s">
        <v>30</v>
      </c>
    </row>
  </sheetData>
  <pageMargins left="0.7" right="0.7" top="0.75" bottom="0.75" header="0.3" footer="0.3"/>
  <pageSetup paperSize="9" orientation="portrait" verticalDpi="0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C34"/>
  <sheetViews>
    <sheetView workbookViewId="0">
      <selection sqref="A1:C40"/>
    </sheetView>
  </sheetViews>
  <sheetFormatPr defaultRowHeight="15"/>
  <cols>
    <col min="1" max="1" width="52.7109375" customWidth="1"/>
    <col min="2" max="2" width="14" customWidth="1"/>
    <col min="3" max="3" width="16.28515625" customWidth="1"/>
  </cols>
  <sheetData>
    <row r="1" spans="1:3" ht="15.75">
      <c r="A1" s="1"/>
    </row>
    <row r="2" spans="1:3" ht="15.75">
      <c r="A2" s="1"/>
      <c r="B2" s="1"/>
      <c r="C2" s="1"/>
    </row>
    <row r="3" spans="1:3" ht="15.75">
      <c r="A3" s="1"/>
      <c r="B3" s="1"/>
      <c r="C3" s="1"/>
    </row>
    <row r="4" spans="1:3" ht="15.75">
      <c r="A4" s="1"/>
      <c r="B4" s="1"/>
      <c r="C4" s="1"/>
    </row>
    <row r="5" spans="1:3" ht="15.75">
      <c r="A5" s="1"/>
      <c r="B5" s="1"/>
      <c r="C5" s="1"/>
    </row>
    <row r="6" spans="1:3" ht="15.75">
      <c r="A6" s="1"/>
      <c r="B6" s="1"/>
      <c r="C6" s="1"/>
    </row>
    <row r="7" spans="1:3" ht="15.75">
      <c r="A7" s="1"/>
      <c r="B7" s="1"/>
      <c r="C7" s="1"/>
    </row>
    <row r="8" spans="1:3" ht="15.75">
      <c r="A8" s="1"/>
      <c r="B8" s="2"/>
      <c r="C8" s="1"/>
    </row>
    <row r="9" spans="1:3" ht="15.75">
      <c r="A9" s="1"/>
      <c r="B9" s="7"/>
      <c r="C9" s="1"/>
    </row>
    <row r="10" spans="1:3" ht="15.75">
      <c r="A10" s="1"/>
      <c r="B10" s="7"/>
      <c r="C10" s="1"/>
    </row>
    <row r="11" spans="1:3" ht="15.75">
      <c r="A11" s="1"/>
      <c r="B11" s="7"/>
      <c r="C11" s="1"/>
    </row>
    <row r="12" spans="1:3" ht="15.75">
      <c r="A12" s="1"/>
      <c r="B12" s="7"/>
      <c r="C12" s="1"/>
    </row>
    <row r="13" spans="1:3" ht="15.75">
      <c r="A13" s="1"/>
      <c r="B13" s="7"/>
      <c r="C13" s="1"/>
    </row>
    <row r="14" spans="1:3" ht="15.75">
      <c r="A14" s="1"/>
      <c r="B14" s="7"/>
      <c r="C14" s="1"/>
    </row>
    <row r="15" spans="1:3" ht="15.75">
      <c r="A15" s="1"/>
      <c r="B15" s="7"/>
      <c r="C15" s="1"/>
    </row>
    <row r="16" spans="1:3" ht="15.75">
      <c r="A16" s="1"/>
      <c r="B16" s="7"/>
      <c r="C16" s="1"/>
    </row>
    <row r="17" spans="1:3" ht="15.75">
      <c r="A17" s="1"/>
      <c r="B17" s="7"/>
      <c r="C17" s="1"/>
    </row>
    <row r="18" spans="1:3" ht="15.75">
      <c r="A18" s="1"/>
      <c r="B18" s="7"/>
      <c r="C18" s="1"/>
    </row>
    <row r="19" spans="1:3" ht="15.75">
      <c r="A19" s="1"/>
      <c r="B19" s="7"/>
      <c r="C19" s="1"/>
    </row>
    <row r="20" spans="1:3" ht="15.75">
      <c r="A20" s="1"/>
      <c r="B20" s="7"/>
      <c r="C20" s="1"/>
    </row>
    <row r="21" spans="1:3" ht="15.75">
      <c r="A21" s="1"/>
      <c r="B21" s="7"/>
      <c r="C21" s="1"/>
    </row>
    <row r="22" spans="1:3" ht="15.75">
      <c r="A22" s="1"/>
      <c r="B22" s="7"/>
      <c r="C22" s="1"/>
    </row>
    <row r="23" spans="1:3" ht="15.75">
      <c r="A23" s="1"/>
      <c r="B23" s="7"/>
      <c r="C23" s="1"/>
    </row>
    <row r="24" spans="1:3" ht="15.75">
      <c r="A24" s="1"/>
      <c r="B24" s="7"/>
      <c r="C24" s="1"/>
    </row>
    <row r="25" spans="1:3" ht="15.75">
      <c r="A25" s="1"/>
      <c r="B25" s="7"/>
      <c r="C25" s="1"/>
    </row>
    <row r="26" spans="1:3" ht="15.75">
      <c r="A26" s="1"/>
      <c r="B26" s="7"/>
      <c r="C26" s="1"/>
    </row>
    <row r="27" spans="1:3" ht="15.75">
      <c r="A27" s="1"/>
      <c r="B27" s="7"/>
      <c r="C27" s="1"/>
    </row>
    <row r="28" spans="1:3" ht="15.75">
      <c r="A28" s="1"/>
      <c r="B28" s="7"/>
      <c r="C28" s="1"/>
    </row>
    <row r="29" spans="1:3" ht="15.75">
      <c r="A29" s="1"/>
      <c r="B29" s="7"/>
      <c r="C29" s="1"/>
    </row>
    <row r="30" spans="1:3" ht="15.75">
      <c r="A30" s="1"/>
      <c r="B30" s="1"/>
      <c r="C30" s="1"/>
    </row>
    <row r="31" spans="1:3" ht="15.75">
      <c r="A31" s="1"/>
      <c r="B31" s="1"/>
      <c r="C31" s="1"/>
    </row>
    <row r="32" spans="1:3" ht="15.75">
      <c r="A32" s="1"/>
      <c r="B32" s="1"/>
      <c r="C32" s="1"/>
    </row>
    <row r="33" spans="1:1" ht="15.75">
      <c r="A33" s="1"/>
    </row>
    <row r="34" spans="1:1" ht="15.75">
      <c r="A34" s="1"/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1"/>
  <sheetViews>
    <sheetView topLeftCell="A14" workbookViewId="0">
      <selection activeCell="B34" sqref="B34"/>
    </sheetView>
  </sheetViews>
  <sheetFormatPr defaultRowHeight="15"/>
  <cols>
    <col min="1" max="1" width="56" customWidth="1"/>
    <col min="2" max="2" width="13" customWidth="1"/>
    <col min="3" max="3" width="14.28515625" customWidth="1"/>
  </cols>
  <sheetData>
    <row r="1" spans="1:9" ht="15.75">
      <c r="A1" s="1" t="s">
        <v>0</v>
      </c>
      <c r="D1" s="1"/>
      <c r="G1" s="1"/>
    </row>
    <row r="2" spans="1:9" ht="15.75">
      <c r="A2" s="1" t="s">
        <v>123</v>
      </c>
      <c r="B2" s="1"/>
      <c r="C2" s="1"/>
      <c r="D2" s="1"/>
      <c r="E2" s="1"/>
      <c r="F2" s="1"/>
      <c r="G2" s="1"/>
      <c r="H2" s="1"/>
      <c r="I2" s="1"/>
    </row>
    <row r="3" spans="1:9" ht="15.75">
      <c r="A3" s="1" t="s">
        <v>92</v>
      </c>
      <c r="B3" s="1"/>
      <c r="C3" s="1"/>
      <c r="D3" s="1"/>
      <c r="E3" s="1"/>
      <c r="F3" s="1"/>
      <c r="G3" s="1"/>
      <c r="H3" s="1"/>
      <c r="I3" s="1"/>
    </row>
    <row r="4" spans="1:9" ht="15.75">
      <c r="A4" s="1" t="s">
        <v>28</v>
      </c>
      <c r="B4" s="1"/>
      <c r="C4" s="1"/>
      <c r="D4" s="1"/>
      <c r="E4" s="1"/>
      <c r="F4" s="1"/>
      <c r="G4" s="1"/>
      <c r="H4" s="1"/>
      <c r="I4" s="1"/>
    </row>
    <row r="5" spans="1:9" ht="15.75">
      <c r="A5" s="1" t="s">
        <v>77</v>
      </c>
      <c r="B5" s="1"/>
      <c r="C5" s="1"/>
      <c r="D5" s="1"/>
      <c r="E5" s="1"/>
      <c r="F5" s="1"/>
      <c r="G5" s="1"/>
      <c r="H5" s="1"/>
      <c r="I5" s="1"/>
    </row>
    <row r="6" spans="1:9" ht="15.75">
      <c r="A6" s="1"/>
      <c r="B6" s="1"/>
      <c r="C6" s="1"/>
      <c r="D6" s="1"/>
      <c r="E6" s="1"/>
      <c r="F6" s="1"/>
      <c r="G6" s="1"/>
      <c r="H6" s="1"/>
      <c r="I6" s="1"/>
    </row>
    <row r="7" spans="1:9" ht="15.75">
      <c r="A7" s="1" t="s">
        <v>1</v>
      </c>
      <c r="B7" s="1" t="s">
        <v>2</v>
      </c>
      <c r="C7" s="1" t="s">
        <v>3</v>
      </c>
      <c r="D7" s="1"/>
      <c r="E7" s="1"/>
      <c r="F7" s="1"/>
      <c r="G7" s="1"/>
      <c r="H7" s="1"/>
      <c r="I7" s="1"/>
    </row>
    <row r="8" spans="1:9" ht="15.75">
      <c r="A8" s="1" t="s">
        <v>138</v>
      </c>
      <c r="B8" s="2"/>
      <c r="C8" s="6">
        <v>1151.6300000000001</v>
      </c>
      <c r="D8" s="1"/>
      <c r="E8" s="2"/>
      <c r="F8" s="1"/>
      <c r="G8" s="1"/>
      <c r="H8" s="2"/>
      <c r="I8" s="1"/>
    </row>
    <row r="9" spans="1:9" ht="15.75">
      <c r="A9" s="1" t="s">
        <v>4</v>
      </c>
      <c r="B9" s="7">
        <f>C9/12</f>
        <v>39310.431666666664</v>
      </c>
      <c r="C9" s="1">
        <v>471725.18</v>
      </c>
      <c r="D9" s="1"/>
      <c r="E9" s="2"/>
      <c r="F9" s="1"/>
      <c r="G9" s="1"/>
      <c r="H9" s="2"/>
      <c r="I9" s="1"/>
    </row>
    <row r="10" spans="1:9" ht="15.75">
      <c r="A10" s="1" t="s">
        <v>31</v>
      </c>
      <c r="B10" s="7">
        <f t="shared" ref="B10:B28" si="0">C10/12</f>
        <v>333.33333333333331</v>
      </c>
      <c r="C10" s="1">
        <v>4000</v>
      </c>
      <c r="D10" s="1"/>
      <c r="E10" s="2"/>
      <c r="F10" s="1"/>
      <c r="G10" s="1"/>
      <c r="H10" s="2"/>
      <c r="I10" s="1"/>
    </row>
    <row r="11" spans="1:9" ht="15.75">
      <c r="A11" s="6" t="s">
        <v>17</v>
      </c>
      <c r="B11" s="7">
        <f t="shared" si="0"/>
        <v>39643.764999999999</v>
      </c>
      <c r="C11" s="6">
        <v>475725.18</v>
      </c>
      <c r="D11" s="1"/>
      <c r="E11" s="2"/>
      <c r="F11" s="6"/>
      <c r="G11" s="1"/>
      <c r="H11" s="2"/>
      <c r="I11" s="1"/>
    </row>
    <row r="12" spans="1:9" ht="15.75">
      <c r="A12" s="1" t="s">
        <v>18</v>
      </c>
      <c r="B12" s="7">
        <f t="shared" si="0"/>
        <v>0</v>
      </c>
      <c r="C12" s="1"/>
      <c r="D12" s="1"/>
      <c r="E12" s="2"/>
      <c r="F12" s="6"/>
      <c r="G12" s="1"/>
      <c r="H12" s="2"/>
      <c r="I12" s="1"/>
    </row>
    <row r="13" spans="1:9" ht="15.75">
      <c r="A13" s="1" t="s">
        <v>25</v>
      </c>
      <c r="B13" s="7">
        <f t="shared" si="0"/>
        <v>9910.371666666666</v>
      </c>
      <c r="C13" s="1">
        <f>97180.81+21743.65</f>
        <v>118924.45999999999</v>
      </c>
      <c r="D13" s="1"/>
      <c r="E13" s="2"/>
      <c r="F13" s="1"/>
      <c r="G13" s="1"/>
      <c r="H13" s="2"/>
      <c r="I13" s="1"/>
    </row>
    <row r="14" spans="1:9" ht="15.75">
      <c r="A14" s="1" t="s">
        <v>32</v>
      </c>
      <c r="B14" s="7">
        <f t="shared" si="0"/>
        <v>8146.399166666667</v>
      </c>
      <c r="C14" s="1">
        <f>30822.82+66933.97</f>
        <v>97756.790000000008</v>
      </c>
      <c r="D14" s="1"/>
      <c r="E14" s="2"/>
      <c r="F14" s="1"/>
      <c r="G14" s="1"/>
      <c r="H14" s="2"/>
      <c r="I14" s="1"/>
    </row>
    <row r="15" spans="1:9" ht="15.75">
      <c r="A15" s="1" t="s">
        <v>5</v>
      </c>
      <c r="B15" s="7">
        <f t="shared" si="0"/>
        <v>0</v>
      </c>
      <c r="C15" s="1"/>
      <c r="D15" s="1"/>
      <c r="E15" s="2"/>
      <c r="F15" s="1"/>
      <c r="G15" s="1"/>
      <c r="H15" s="2"/>
      <c r="I15" s="1"/>
    </row>
    <row r="16" spans="1:9" ht="15.75">
      <c r="A16" s="1" t="s">
        <v>6</v>
      </c>
      <c r="B16" s="7">
        <f t="shared" si="0"/>
        <v>2544.0833333333335</v>
      </c>
      <c r="C16" s="1">
        <v>30529</v>
      </c>
      <c r="D16" s="1"/>
      <c r="E16" s="2"/>
      <c r="F16" s="5"/>
      <c r="G16" s="1"/>
      <c r="H16" s="2"/>
      <c r="I16" s="1"/>
    </row>
    <row r="17" spans="1:9" ht="15.75">
      <c r="A17" s="1" t="s">
        <v>7</v>
      </c>
      <c r="B17" s="7">
        <f t="shared" si="0"/>
        <v>1428.8950000000002</v>
      </c>
      <c r="C17" s="1">
        <v>17146.740000000002</v>
      </c>
      <c r="D17" s="1"/>
      <c r="E17" s="2"/>
      <c r="F17" s="1"/>
      <c r="G17" s="1"/>
      <c r="H17" s="2"/>
      <c r="I17" s="1"/>
    </row>
    <row r="18" spans="1:9" ht="15.75">
      <c r="A18" s="1" t="s">
        <v>8</v>
      </c>
      <c r="B18" s="7">
        <f t="shared" si="0"/>
        <v>154.83000000000001</v>
      </c>
      <c r="C18" s="1">
        <v>1857.96</v>
      </c>
      <c r="D18" s="1"/>
      <c r="E18" s="2"/>
      <c r="F18" s="1"/>
      <c r="G18" s="1"/>
      <c r="H18" s="2"/>
      <c r="I18" s="1"/>
    </row>
    <row r="19" spans="1:9" ht="15.75">
      <c r="A19" s="1" t="s">
        <v>9</v>
      </c>
      <c r="B19" s="7">
        <f t="shared" si="0"/>
        <v>0</v>
      </c>
      <c r="C19" s="1"/>
      <c r="D19" s="1"/>
      <c r="E19" s="2"/>
      <c r="F19" s="1"/>
      <c r="G19" s="1"/>
      <c r="H19" s="2"/>
      <c r="I19" s="1"/>
    </row>
    <row r="20" spans="1:9" ht="15.75">
      <c r="A20" s="1" t="s">
        <v>10</v>
      </c>
      <c r="B20" s="7">
        <f t="shared" si="0"/>
        <v>758.02833333333331</v>
      </c>
      <c r="C20" s="1">
        <v>9096.34</v>
      </c>
      <c r="D20" s="1"/>
      <c r="E20" s="2"/>
      <c r="F20" s="1"/>
      <c r="G20" s="1"/>
      <c r="H20" s="2"/>
      <c r="I20" s="1"/>
    </row>
    <row r="21" spans="1:9" ht="15.75">
      <c r="A21" s="1" t="s">
        <v>11</v>
      </c>
      <c r="B21" s="7">
        <f t="shared" si="0"/>
        <v>1953.8533333333335</v>
      </c>
      <c r="C21" s="1">
        <v>23446.240000000002</v>
      </c>
      <c r="D21" s="1"/>
      <c r="E21" s="2"/>
      <c r="F21" s="1"/>
      <c r="G21" s="1"/>
      <c r="H21" s="2"/>
      <c r="I21" s="1"/>
    </row>
    <row r="22" spans="1:9" ht="15.75">
      <c r="A22" s="1" t="s">
        <v>12</v>
      </c>
      <c r="B22" s="7">
        <f t="shared" si="0"/>
        <v>2831.6158333333333</v>
      </c>
      <c r="C22" s="1">
        <v>33979.39</v>
      </c>
      <c r="D22" s="1"/>
      <c r="E22" s="2"/>
      <c r="F22" s="1"/>
      <c r="G22" s="1"/>
      <c r="H22" s="2"/>
      <c r="I22" s="1"/>
    </row>
    <row r="23" spans="1:9" ht="15.75">
      <c r="A23" s="1" t="s">
        <v>13</v>
      </c>
      <c r="B23" s="7">
        <f t="shared" si="0"/>
        <v>606.2408333333334</v>
      </c>
      <c r="C23" s="1">
        <v>7274.89</v>
      </c>
      <c r="D23" s="1"/>
      <c r="E23" s="2"/>
      <c r="F23" s="1"/>
      <c r="G23" s="1"/>
      <c r="H23" s="2"/>
      <c r="I23" s="1"/>
    </row>
    <row r="24" spans="1:9" ht="15.75">
      <c r="A24" s="1" t="s">
        <v>14</v>
      </c>
      <c r="B24" s="7">
        <f t="shared" si="0"/>
        <v>2062.1124999999997</v>
      </c>
      <c r="C24" s="1">
        <v>24745.35</v>
      </c>
      <c r="D24" s="1"/>
      <c r="E24" s="2"/>
      <c r="F24" s="1"/>
      <c r="G24" s="1"/>
      <c r="H24" s="2"/>
      <c r="I24" s="1"/>
    </row>
    <row r="25" spans="1:9" ht="15.75">
      <c r="A25" s="1" t="s">
        <v>29</v>
      </c>
      <c r="B25" s="7">
        <f t="shared" si="0"/>
        <v>221.50750000000002</v>
      </c>
      <c r="C25" s="1">
        <v>2658.09</v>
      </c>
      <c r="D25" s="1"/>
      <c r="E25" s="2"/>
      <c r="F25" s="1"/>
      <c r="G25" s="1"/>
      <c r="H25" s="2"/>
      <c r="I25" s="1"/>
    </row>
    <row r="26" spans="1:9" ht="15.75">
      <c r="A26" s="1" t="s">
        <v>19</v>
      </c>
      <c r="B26" s="7">
        <f t="shared" si="0"/>
        <v>0</v>
      </c>
      <c r="C26" s="1"/>
      <c r="D26" s="1"/>
      <c r="E26" s="2"/>
      <c r="F26" s="1"/>
      <c r="G26" s="1"/>
      <c r="H26" s="2"/>
      <c r="I26" s="1"/>
    </row>
    <row r="27" spans="1:9" ht="15.75">
      <c r="A27" s="1" t="s">
        <v>78</v>
      </c>
      <c r="B27" s="7">
        <f t="shared" si="0"/>
        <v>9188.1108333333341</v>
      </c>
      <c r="C27" s="1">
        <v>110257.33</v>
      </c>
      <c r="D27" s="1"/>
      <c r="E27" s="2"/>
      <c r="F27" s="1"/>
      <c r="G27" s="1"/>
      <c r="H27" s="2"/>
      <c r="I27" s="1"/>
    </row>
    <row r="28" spans="1:9" ht="15.75">
      <c r="A28" s="6" t="s">
        <v>79</v>
      </c>
      <c r="B28" s="7">
        <f t="shared" si="0"/>
        <v>39806.04833333334</v>
      </c>
      <c r="C28" s="6">
        <f>SUM(C13:C27)</f>
        <v>477672.58000000007</v>
      </c>
      <c r="D28" s="1"/>
      <c r="E28" s="2"/>
      <c r="F28" s="1"/>
      <c r="G28" s="1"/>
      <c r="H28" s="2"/>
      <c r="I28" s="1"/>
    </row>
    <row r="29" spans="1:9" ht="15.75">
      <c r="A29" s="6" t="s">
        <v>80</v>
      </c>
      <c r="B29" s="7"/>
      <c r="C29" s="6"/>
      <c r="D29" s="1"/>
      <c r="E29" s="1"/>
      <c r="F29" s="1"/>
      <c r="G29" s="1"/>
      <c r="H29" s="1"/>
      <c r="I29" s="1"/>
    </row>
    <row r="30" spans="1:9" ht="15.75">
      <c r="A30" s="6" t="s">
        <v>81</v>
      </c>
      <c r="B30" s="1"/>
      <c r="C30" s="6">
        <v>795.77</v>
      </c>
      <c r="D30" s="1"/>
      <c r="E30" s="1"/>
      <c r="F30" s="1"/>
      <c r="G30" s="1"/>
      <c r="H30" s="1"/>
      <c r="I30" s="1"/>
    </row>
    <row r="31" spans="1:9" ht="15.75">
      <c r="A31" s="1" t="s">
        <v>33</v>
      </c>
      <c r="B31" s="6">
        <v>58837.31</v>
      </c>
      <c r="C31" s="1"/>
      <c r="D31" s="1"/>
      <c r="E31" s="1"/>
      <c r="F31" s="1"/>
      <c r="G31" s="1"/>
      <c r="H31" s="1"/>
      <c r="I31" s="1"/>
    </row>
    <row r="32" spans="1:9" ht="15.75">
      <c r="A32" s="1" t="s">
        <v>22</v>
      </c>
      <c r="B32" s="1"/>
      <c r="C32" s="1"/>
      <c r="D32" s="1"/>
      <c r="G32" s="1"/>
    </row>
    <row r="33" spans="1:7" ht="15.75">
      <c r="A33" s="1" t="s">
        <v>23</v>
      </c>
      <c r="D33" s="3"/>
      <c r="G33" s="3"/>
    </row>
    <row r="34" spans="1:7" ht="18.75">
      <c r="A34" s="1" t="s">
        <v>137</v>
      </c>
      <c r="B34" s="14">
        <v>23811.65</v>
      </c>
    </row>
    <row r="36" spans="1:7" ht="15.75">
      <c r="A36" s="10" t="s">
        <v>73</v>
      </c>
    </row>
    <row r="38" spans="1:7">
      <c r="A38" t="s">
        <v>75</v>
      </c>
    </row>
    <row r="39" spans="1:7">
      <c r="A39" t="s">
        <v>74</v>
      </c>
    </row>
    <row r="41" spans="1:7">
      <c r="A41" t="s">
        <v>76</v>
      </c>
    </row>
  </sheetData>
  <pageMargins left="0.7" right="0.7" top="0.75" bottom="0.75" header="0.3" footer="0.3"/>
  <pageSetup paperSize="9" orientation="portrait" verticalDpi="0"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1:A16"/>
  <sheetViews>
    <sheetView workbookViewId="0">
      <selection activeCell="F12" sqref="F12"/>
    </sheetView>
  </sheetViews>
  <sheetFormatPr defaultRowHeight="15"/>
  <cols>
    <col min="1" max="1" width="74" customWidth="1"/>
  </cols>
  <sheetData>
    <row r="1" spans="1:1" ht="20.25">
      <c r="A1" s="8" t="s">
        <v>18</v>
      </c>
    </row>
    <row r="2" spans="1:1" ht="20.25">
      <c r="A2" s="8" t="s">
        <v>25</v>
      </c>
    </row>
    <row r="3" spans="1:1" ht="20.25">
      <c r="A3" s="8" t="s">
        <v>32</v>
      </c>
    </row>
    <row r="4" spans="1:1" ht="20.25">
      <c r="A4" s="8" t="s">
        <v>5</v>
      </c>
    </row>
    <row r="5" spans="1:1" ht="20.25">
      <c r="A5" s="8" t="s">
        <v>6</v>
      </c>
    </row>
    <row r="6" spans="1:1" ht="20.25">
      <c r="A6" s="8" t="s">
        <v>7</v>
      </c>
    </row>
    <row r="7" spans="1:1" ht="20.25">
      <c r="A7" s="8" t="s">
        <v>8</v>
      </c>
    </row>
    <row r="8" spans="1:1" ht="20.25">
      <c r="A8" s="8" t="s">
        <v>9</v>
      </c>
    </row>
    <row r="9" spans="1:1" ht="20.25">
      <c r="A9" s="8" t="s">
        <v>10</v>
      </c>
    </row>
    <row r="10" spans="1:1" ht="20.25">
      <c r="A10" s="8" t="s">
        <v>11</v>
      </c>
    </row>
    <row r="11" spans="1:1" ht="20.25">
      <c r="A11" s="8" t="s">
        <v>12</v>
      </c>
    </row>
    <row r="12" spans="1:1" ht="20.25">
      <c r="A12" s="8" t="s">
        <v>13</v>
      </c>
    </row>
    <row r="13" spans="1:1" ht="20.25">
      <c r="A13" s="8" t="s">
        <v>14</v>
      </c>
    </row>
    <row r="14" spans="1:1" ht="20.25">
      <c r="A14" s="8" t="s">
        <v>29</v>
      </c>
    </row>
    <row r="15" spans="1:1" ht="20.25">
      <c r="A15" s="8" t="s">
        <v>19</v>
      </c>
    </row>
    <row r="16" spans="1:1" ht="21">
      <c r="A16" s="9"/>
    </row>
  </sheetData>
  <pageMargins left="0.7" right="0.7" top="0.75" bottom="0.75" header="0.3" footer="0.3"/>
  <pageSetup paperSize="9" orientation="portrait" verticalDpi="0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C37"/>
  <sheetViews>
    <sheetView workbookViewId="0">
      <selection activeCell="G24" sqref="G24"/>
    </sheetView>
  </sheetViews>
  <sheetFormatPr defaultRowHeight="15"/>
  <cols>
    <col min="1" max="1" width="30.42578125" customWidth="1"/>
    <col min="2" max="2" width="22.7109375" customWidth="1"/>
    <col min="3" max="3" width="13.42578125" customWidth="1"/>
  </cols>
  <sheetData>
    <row r="1" spans="1:3" ht="15.75">
      <c r="A1" s="1" t="s">
        <v>0</v>
      </c>
    </row>
    <row r="2" spans="1:3" ht="15.75">
      <c r="A2" s="1" t="s">
        <v>38</v>
      </c>
      <c r="B2" s="1"/>
      <c r="C2" s="1"/>
    </row>
    <row r="3" spans="1:3" ht="15.75">
      <c r="A3" s="1" t="s">
        <v>27</v>
      </c>
      <c r="B3" s="1"/>
      <c r="C3" s="1" t="s">
        <v>61</v>
      </c>
    </row>
    <row r="4" spans="1:3" ht="15.75">
      <c r="A4" s="1" t="s">
        <v>28</v>
      </c>
      <c r="B4" s="1" t="s">
        <v>62</v>
      </c>
      <c r="C4" s="1"/>
    </row>
    <row r="5" spans="1:3" ht="15.75">
      <c r="A5" s="1" t="s">
        <v>26</v>
      </c>
      <c r="B5" s="1" t="s">
        <v>63</v>
      </c>
      <c r="C5" s="1"/>
    </row>
    <row r="6" spans="1:3" ht="15.75">
      <c r="A6" s="1"/>
      <c r="B6" s="1"/>
      <c r="C6" s="1"/>
    </row>
    <row r="7" spans="1:3" ht="15.75">
      <c r="A7" s="1" t="s">
        <v>1</v>
      </c>
      <c r="B7" s="1"/>
      <c r="C7" s="1" t="s">
        <v>64</v>
      </c>
    </row>
    <row r="8" spans="1:3" ht="15.75">
      <c r="A8" s="1" t="s">
        <v>65</v>
      </c>
      <c r="B8" s="2"/>
      <c r="C8" s="1"/>
    </row>
    <row r="9" spans="1:3" ht="15.75">
      <c r="A9" s="1" t="s">
        <v>4</v>
      </c>
      <c r="B9" s="7"/>
      <c r="C9" s="1">
        <v>195611.12</v>
      </c>
    </row>
    <row r="10" spans="1:3" ht="15.75">
      <c r="A10" s="1" t="s">
        <v>31</v>
      </c>
      <c r="B10" s="7"/>
      <c r="C10" s="1">
        <v>3725</v>
      </c>
    </row>
    <row r="11" spans="1:3" ht="15.75">
      <c r="A11" s="1" t="s">
        <v>17</v>
      </c>
      <c r="B11" s="7"/>
      <c r="C11" s="6">
        <v>199336.12</v>
      </c>
    </row>
    <row r="12" spans="1:3" ht="15.75">
      <c r="A12" s="1" t="s">
        <v>18</v>
      </c>
      <c r="B12" s="7"/>
      <c r="C12" s="1"/>
    </row>
    <row r="13" spans="1:3" ht="15.75">
      <c r="A13" s="1" t="s">
        <v>25</v>
      </c>
      <c r="B13" s="7"/>
      <c r="C13" s="1">
        <v>62336.7</v>
      </c>
    </row>
    <row r="14" spans="1:3" ht="15.75">
      <c r="A14" s="1" t="s">
        <v>32</v>
      </c>
      <c r="B14" s="7"/>
      <c r="C14" s="1">
        <v>64524.84</v>
      </c>
    </row>
    <row r="15" spans="1:3" ht="15.75">
      <c r="A15" s="1" t="s">
        <v>5</v>
      </c>
      <c r="B15" s="7"/>
      <c r="C15" s="1"/>
    </row>
    <row r="16" spans="1:3" ht="15.75">
      <c r="A16" s="1" t="s">
        <v>6</v>
      </c>
      <c r="B16" s="7"/>
      <c r="C16" s="1">
        <v>12033</v>
      </c>
    </row>
    <row r="17" spans="1:3" ht="15.75">
      <c r="A17" s="1" t="s">
        <v>7</v>
      </c>
      <c r="B17" s="7"/>
      <c r="C17" s="1">
        <v>7282.08</v>
      </c>
    </row>
    <row r="18" spans="1:3" ht="15.75">
      <c r="A18" s="1" t="s">
        <v>8</v>
      </c>
      <c r="B18" s="7"/>
      <c r="C18" s="1">
        <v>819.78</v>
      </c>
    </row>
    <row r="19" spans="1:3" ht="15.75">
      <c r="A19" s="1" t="s">
        <v>9</v>
      </c>
      <c r="B19" s="7"/>
      <c r="C19" s="1"/>
    </row>
    <row r="20" spans="1:3" ht="15.75">
      <c r="A20" s="1" t="s">
        <v>10</v>
      </c>
      <c r="B20" s="7"/>
      <c r="C20" s="1">
        <v>8982.66</v>
      </c>
    </row>
    <row r="21" spans="1:3" ht="15.75">
      <c r="A21" s="1" t="s">
        <v>11</v>
      </c>
      <c r="B21" s="7"/>
      <c r="C21" s="1">
        <v>9830.7900000000009</v>
      </c>
    </row>
    <row r="22" spans="1:3" ht="15.75">
      <c r="A22" s="1" t="s">
        <v>12</v>
      </c>
      <c r="B22" s="7"/>
      <c r="C22" s="1">
        <v>19335.599999999999</v>
      </c>
    </row>
    <row r="23" spans="1:3" ht="15.75">
      <c r="A23" s="1" t="s">
        <v>66</v>
      </c>
      <c r="B23" s="7"/>
      <c r="C23" s="1">
        <v>33296.11</v>
      </c>
    </row>
    <row r="24" spans="1:3" ht="15.75">
      <c r="A24" s="1" t="s">
        <v>14</v>
      </c>
      <c r="B24" s="7"/>
      <c r="C24" s="1">
        <v>11960.16</v>
      </c>
    </row>
    <row r="25" spans="1:3" ht="15.75">
      <c r="A25" s="1" t="s">
        <v>67</v>
      </c>
      <c r="B25" s="7"/>
      <c r="C25" s="1">
        <v>13282.37</v>
      </c>
    </row>
    <row r="26" spans="1:3" ht="15.75">
      <c r="A26" s="1" t="s">
        <v>19</v>
      </c>
      <c r="B26" s="7"/>
      <c r="C26" s="1">
        <v>713.28</v>
      </c>
    </row>
    <row r="27" spans="1:3" ht="15.75">
      <c r="A27" s="1" t="s">
        <v>20</v>
      </c>
      <c r="B27" s="7"/>
      <c r="C27" s="6">
        <f>SUM(C13:C26)</f>
        <v>244397.37</v>
      </c>
    </row>
    <row r="28" spans="1:3" ht="15.75">
      <c r="A28" s="1" t="s">
        <v>15</v>
      </c>
      <c r="B28" s="7"/>
      <c r="C28" s="1"/>
    </row>
    <row r="29" spans="1:3" ht="15.75">
      <c r="A29" s="1" t="s">
        <v>16</v>
      </c>
      <c r="B29" s="7"/>
      <c r="C29" s="6">
        <v>45061.25</v>
      </c>
    </row>
    <row r="30" spans="1:3" ht="15.75">
      <c r="A30" s="1" t="s">
        <v>21</v>
      </c>
      <c r="B30" s="1"/>
      <c r="C30" s="1"/>
    </row>
    <row r="31" spans="1:3" ht="15.75">
      <c r="A31" s="1" t="s">
        <v>68</v>
      </c>
      <c r="B31" s="1"/>
      <c r="C31" s="1"/>
    </row>
    <row r="32" spans="1:3" ht="15.75">
      <c r="A32" s="1"/>
      <c r="B32" s="1"/>
      <c r="C32" s="1"/>
    </row>
    <row r="33" spans="1:2" ht="15.75">
      <c r="A33" s="1"/>
    </row>
    <row r="34" spans="1:2">
      <c r="A34" s="3"/>
    </row>
    <row r="35" spans="1:2">
      <c r="A35" t="s">
        <v>69</v>
      </c>
      <c r="B35" t="s">
        <v>70</v>
      </c>
    </row>
    <row r="37" spans="1:2">
      <c r="A37" t="s">
        <v>71</v>
      </c>
      <c r="B37" t="s">
        <v>72</v>
      </c>
    </row>
  </sheetData>
  <pageMargins left="0.7" right="0.7" top="0.75" bottom="0.75" header="0.3" footer="0.3"/>
  <pageSetup paperSize="9" orientation="portrait" verticalDpi="0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A1:C41"/>
  <sheetViews>
    <sheetView workbookViewId="0">
      <selection activeCell="D9" sqref="D9"/>
    </sheetView>
  </sheetViews>
  <sheetFormatPr defaultRowHeight="15"/>
  <cols>
    <col min="1" max="1" width="53.5703125" customWidth="1"/>
    <col min="2" max="2" width="12.85546875" customWidth="1"/>
    <col min="3" max="3" width="14.42578125" customWidth="1"/>
  </cols>
  <sheetData>
    <row r="1" spans="1:3" ht="15.75">
      <c r="A1" s="1" t="s">
        <v>0</v>
      </c>
    </row>
    <row r="2" spans="1:3" ht="15.75">
      <c r="A2" s="1" t="s">
        <v>136</v>
      </c>
      <c r="B2" s="1"/>
      <c r="C2" s="1"/>
    </row>
    <row r="3" spans="1:3" ht="15.75">
      <c r="A3" s="1" t="s">
        <v>92</v>
      </c>
      <c r="B3" s="1"/>
      <c r="C3" s="1"/>
    </row>
    <row r="4" spans="1:3" ht="15.75">
      <c r="A4" s="1" t="s">
        <v>140</v>
      </c>
      <c r="B4" s="1"/>
      <c r="C4" s="1"/>
    </row>
    <row r="5" spans="1:3" ht="15.75">
      <c r="A5" s="1" t="s">
        <v>77</v>
      </c>
      <c r="B5" s="1"/>
      <c r="C5" s="1"/>
    </row>
    <row r="6" spans="1:3" ht="15.75">
      <c r="A6" s="1"/>
      <c r="B6" s="1"/>
      <c r="C6" s="1"/>
    </row>
    <row r="7" spans="1:3" ht="15.75">
      <c r="A7" s="1" t="s">
        <v>1</v>
      </c>
      <c r="B7" s="1" t="s">
        <v>2</v>
      </c>
      <c r="C7" s="1" t="s">
        <v>3</v>
      </c>
    </row>
    <row r="8" spans="1:3" ht="15.75">
      <c r="A8" s="1" t="s">
        <v>24</v>
      </c>
      <c r="B8" s="2"/>
      <c r="C8" s="6">
        <v>-257453.99</v>
      </c>
    </row>
    <row r="9" spans="1:3" ht="15.75">
      <c r="A9" s="1" t="s">
        <v>4</v>
      </c>
      <c r="B9" s="7">
        <f>C9/12</f>
        <v>5019.9591666666665</v>
      </c>
      <c r="C9" s="1">
        <v>60239.51</v>
      </c>
    </row>
    <row r="10" spans="1:3" ht="15.75">
      <c r="A10" s="1" t="s">
        <v>31</v>
      </c>
      <c r="B10" s="7">
        <f t="shared" ref="B10:B28" si="0">C10/12</f>
        <v>0</v>
      </c>
      <c r="C10" s="1"/>
    </row>
    <row r="11" spans="1:3" ht="15.75">
      <c r="A11" s="6" t="s">
        <v>17</v>
      </c>
      <c r="B11" s="7">
        <f t="shared" si="0"/>
        <v>5019.9591666666665</v>
      </c>
      <c r="C11" s="6">
        <v>60239.51</v>
      </c>
    </row>
    <row r="12" spans="1:3" ht="15.75">
      <c r="A12" s="1" t="s">
        <v>18</v>
      </c>
      <c r="B12" s="7">
        <f t="shared" si="0"/>
        <v>0</v>
      </c>
      <c r="C12" s="1"/>
    </row>
    <row r="13" spans="1:3" ht="15.75">
      <c r="A13" s="1" t="s">
        <v>25</v>
      </c>
      <c r="B13" s="7">
        <f t="shared" si="0"/>
        <v>1533.2266666666667</v>
      </c>
      <c r="C13" s="1">
        <f>7517.39+7517.39+1681.97+1681.97</f>
        <v>18398.72</v>
      </c>
    </row>
    <row r="14" spans="1:3" ht="15.75">
      <c r="A14" s="1" t="s">
        <v>32</v>
      </c>
      <c r="B14" s="7">
        <f t="shared" si="0"/>
        <v>1339.1683333333333</v>
      </c>
      <c r="C14" s="1">
        <f>2189.62+2189.62+5845.39+5845.39</f>
        <v>16070.02</v>
      </c>
    </row>
    <row r="15" spans="1:3" ht="15.75">
      <c r="A15" s="1" t="s">
        <v>5</v>
      </c>
      <c r="B15" s="7">
        <f t="shared" si="0"/>
        <v>0</v>
      </c>
      <c r="C15" s="1"/>
    </row>
    <row r="16" spans="1:3" ht="15.75">
      <c r="A16" s="1" t="s">
        <v>6</v>
      </c>
      <c r="B16" s="7">
        <f t="shared" si="0"/>
        <v>2704.0833333333335</v>
      </c>
      <c r="C16" s="1">
        <f>27111+5338</f>
        <v>32449</v>
      </c>
    </row>
    <row r="17" spans="1:3" ht="15.75">
      <c r="A17" s="1" t="s">
        <v>7</v>
      </c>
      <c r="B17" s="7">
        <f t="shared" si="0"/>
        <v>209.34</v>
      </c>
      <c r="C17" s="1">
        <f>1256.04+1256.04</f>
        <v>2512.08</v>
      </c>
    </row>
    <row r="18" spans="1:3" ht="15.75">
      <c r="A18" s="1" t="s">
        <v>8</v>
      </c>
      <c r="B18" s="7">
        <f t="shared" si="0"/>
        <v>19.498333333333331</v>
      </c>
      <c r="C18" s="1">
        <f>116.99+116.99</f>
        <v>233.98</v>
      </c>
    </row>
    <row r="19" spans="1:3" ht="15.75">
      <c r="A19" s="1" t="s">
        <v>9</v>
      </c>
      <c r="B19" s="7">
        <f t="shared" si="0"/>
        <v>0</v>
      </c>
      <c r="C19" s="1"/>
    </row>
    <row r="20" spans="1:3" ht="15.75">
      <c r="A20" s="1" t="s">
        <v>10</v>
      </c>
      <c r="B20" s="7">
        <f t="shared" si="0"/>
        <v>116.86333333333333</v>
      </c>
      <c r="C20" s="1">
        <f>701.18+701.18</f>
        <v>1402.36</v>
      </c>
    </row>
    <row r="21" spans="1:3" ht="15.75">
      <c r="A21" s="1" t="s">
        <v>11</v>
      </c>
      <c r="B21" s="7">
        <f t="shared" si="0"/>
        <v>253.14583333333334</v>
      </c>
      <c r="C21" s="1">
        <f>1577.62+1460.13</f>
        <v>3037.75</v>
      </c>
    </row>
    <row r="22" spans="1:3" ht="15.75">
      <c r="A22" s="1" t="s">
        <v>12</v>
      </c>
      <c r="B22" s="7">
        <f t="shared" si="0"/>
        <v>361.40166666666664</v>
      </c>
      <c r="C22" s="1">
        <f>2144.29+2192.53</f>
        <v>4336.82</v>
      </c>
    </row>
    <row r="23" spans="1:3" ht="15.75">
      <c r="A23" s="1" t="s">
        <v>13</v>
      </c>
      <c r="B23" s="7">
        <f t="shared" si="0"/>
        <v>16.323333333333334</v>
      </c>
      <c r="C23" s="1">
        <v>195.88</v>
      </c>
    </row>
    <row r="24" spans="1:3" ht="15.75">
      <c r="A24" s="1" t="s">
        <v>14</v>
      </c>
      <c r="B24" s="7">
        <f t="shared" si="0"/>
        <v>261.11833333333334</v>
      </c>
      <c r="C24" s="1">
        <f>1678.58+1454.84</f>
        <v>3133.42</v>
      </c>
    </row>
    <row r="25" spans="1:3" ht="15.75">
      <c r="A25" s="1" t="s">
        <v>29</v>
      </c>
      <c r="B25" s="7">
        <f t="shared" si="0"/>
        <v>0</v>
      </c>
      <c r="C25" s="1"/>
    </row>
    <row r="26" spans="1:3" ht="15.75">
      <c r="A26" s="1" t="s">
        <v>19</v>
      </c>
      <c r="B26" s="7">
        <f t="shared" si="0"/>
        <v>0</v>
      </c>
      <c r="C26" s="1"/>
    </row>
    <row r="27" spans="1:3" ht="15.75">
      <c r="A27" s="1" t="s">
        <v>78</v>
      </c>
      <c r="B27" s="7">
        <f t="shared" si="0"/>
        <v>0</v>
      </c>
      <c r="C27" s="1"/>
    </row>
    <row r="28" spans="1:3" ht="15.75">
      <c r="A28" s="6" t="s">
        <v>79</v>
      </c>
      <c r="B28" s="7">
        <f t="shared" si="0"/>
        <v>6814.1691666666675</v>
      </c>
      <c r="C28" s="6">
        <f>SUM(C13:C27)</f>
        <v>81770.030000000013</v>
      </c>
    </row>
    <row r="29" spans="1:3" ht="15.75">
      <c r="A29" s="6" t="s">
        <v>80</v>
      </c>
      <c r="B29" s="7"/>
      <c r="C29" s="6"/>
    </row>
    <row r="30" spans="1:3" ht="15.75">
      <c r="A30" s="6" t="s">
        <v>81</v>
      </c>
      <c r="B30" s="1"/>
      <c r="C30" s="6">
        <v>235923.47</v>
      </c>
    </row>
    <row r="31" spans="1:3" ht="15.75">
      <c r="A31" s="1" t="s">
        <v>33</v>
      </c>
      <c r="B31" s="6">
        <v>197498.76</v>
      </c>
      <c r="C31" s="1"/>
    </row>
    <row r="32" spans="1:3" ht="15.75">
      <c r="A32" s="1" t="s">
        <v>22</v>
      </c>
      <c r="B32" s="1"/>
      <c r="C32" s="1"/>
    </row>
    <row r="33" spans="1:2" ht="15.75">
      <c r="A33" s="1" t="s">
        <v>23</v>
      </c>
    </row>
    <row r="34" spans="1:2" ht="15.75">
      <c r="A34" s="1" t="s">
        <v>82</v>
      </c>
      <c r="B34" s="13"/>
    </row>
    <row r="36" spans="1:2" ht="15.75">
      <c r="A36" s="10" t="s">
        <v>73</v>
      </c>
    </row>
    <row r="38" spans="1:2">
      <c r="A38" t="s">
        <v>75</v>
      </c>
    </row>
    <row r="39" spans="1:2">
      <c r="A39" t="s">
        <v>74</v>
      </c>
    </row>
    <row r="41" spans="1:2">
      <c r="A41" t="s">
        <v>76</v>
      </c>
    </row>
  </sheetData>
  <pageMargins left="0.7" right="0.7" top="0.75" bottom="0.75" header="0.3" footer="0.3"/>
  <pageSetup paperSize="9" orientation="portrait" verticalDpi="0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B2:G5"/>
  <sheetViews>
    <sheetView workbookViewId="0">
      <selection sqref="A1:H10"/>
    </sheetView>
  </sheetViews>
  <sheetFormatPr defaultRowHeight="15"/>
  <sheetData>
    <row r="2" spans="2:7">
      <c r="C2" t="s">
        <v>146</v>
      </c>
    </row>
    <row r="3" spans="2:7">
      <c r="C3" t="s">
        <v>147</v>
      </c>
    </row>
    <row r="5" spans="2:7">
      <c r="B5" t="s">
        <v>148</v>
      </c>
      <c r="C5" t="s">
        <v>151</v>
      </c>
      <c r="F5" t="s">
        <v>149</v>
      </c>
      <c r="G5" t="s">
        <v>150</v>
      </c>
    </row>
  </sheetData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41"/>
  <sheetViews>
    <sheetView topLeftCell="A4" workbookViewId="0">
      <selection activeCell="A8" sqref="A8"/>
    </sheetView>
  </sheetViews>
  <sheetFormatPr defaultRowHeight="15"/>
  <cols>
    <col min="1" max="1" width="53.85546875" customWidth="1"/>
    <col min="2" max="2" width="13.85546875" customWidth="1"/>
    <col min="3" max="3" width="14.5703125" customWidth="1"/>
  </cols>
  <sheetData>
    <row r="1" spans="1:3" ht="15.75">
      <c r="A1" s="1" t="s">
        <v>0</v>
      </c>
    </row>
    <row r="2" spans="1:3" ht="15.75">
      <c r="A2" s="1" t="s">
        <v>124</v>
      </c>
      <c r="B2" s="1"/>
      <c r="C2" s="1"/>
    </row>
    <row r="3" spans="1:3" ht="15.75">
      <c r="A3" s="1" t="s">
        <v>92</v>
      </c>
      <c r="B3" s="1"/>
      <c r="C3" s="1"/>
    </row>
    <row r="4" spans="1:3" ht="15.75">
      <c r="A4" s="1" t="s">
        <v>28</v>
      </c>
      <c r="B4" s="1"/>
      <c r="C4" s="1"/>
    </row>
    <row r="5" spans="1:3" ht="15.75">
      <c r="A5" s="1" t="s">
        <v>77</v>
      </c>
      <c r="B5" s="1"/>
      <c r="C5" s="1"/>
    </row>
    <row r="6" spans="1:3" ht="15.75">
      <c r="A6" s="1"/>
      <c r="B6" s="1"/>
      <c r="C6" s="1"/>
    </row>
    <row r="7" spans="1:3" ht="15.75">
      <c r="A7" s="1" t="s">
        <v>1</v>
      </c>
      <c r="B7" s="1" t="s">
        <v>2</v>
      </c>
      <c r="C7" s="1" t="s">
        <v>3</v>
      </c>
    </row>
    <row r="8" spans="1:3" ht="15.75">
      <c r="A8" s="1" t="s">
        <v>138</v>
      </c>
      <c r="B8" s="2"/>
      <c r="C8" s="6">
        <v>-5117.75</v>
      </c>
    </row>
    <row r="9" spans="1:3" ht="15.75">
      <c r="A9" s="1" t="s">
        <v>4</v>
      </c>
      <c r="B9" s="7">
        <f>C9/12</f>
        <v>38294.769166666665</v>
      </c>
      <c r="C9" s="1">
        <v>459537.23</v>
      </c>
    </row>
    <row r="10" spans="1:3" ht="15.75">
      <c r="A10" s="1" t="s">
        <v>31</v>
      </c>
      <c r="B10" s="7">
        <f t="shared" ref="B10:B28" si="0">C10/12</f>
        <v>633.33333333333337</v>
      </c>
      <c r="C10" s="1">
        <v>7600</v>
      </c>
    </row>
    <row r="11" spans="1:3" ht="15.75">
      <c r="A11" s="6" t="s">
        <v>17</v>
      </c>
      <c r="B11" s="7">
        <f t="shared" si="0"/>
        <v>38928.102500000001</v>
      </c>
      <c r="C11" s="6">
        <f>SUM(C9:C10)</f>
        <v>467137.23</v>
      </c>
    </row>
    <row r="12" spans="1:3" ht="15.75">
      <c r="A12" s="1" t="s">
        <v>18</v>
      </c>
      <c r="B12" s="7">
        <f t="shared" si="0"/>
        <v>0</v>
      </c>
      <c r="C12" s="1"/>
    </row>
    <row r="13" spans="1:3" ht="15.75">
      <c r="A13" s="1" t="s">
        <v>25</v>
      </c>
      <c r="B13" s="7">
        <f t="shared" si="0"/>
        <v>9842.3000000000011</v>
      </c>
      <c r="C13" s="1">
        <f>96513.3+21594.3</f>
        <v>118107.6</v>
      </c>
    </row>
    <row r="14" spans="1:3" ht="15.75">
      <c r="A14" s="1" t="s">
        <v>32</v>
      </c>
      <c r="B14" s="7">
        <f t="shared" si="0"/>
        <v>6786.1466666666674</v>
      </c>
      <c r="C14" s="1">
        <f>31162.03+50271.73</f>
        <v>81433.760000000009</v>
      </c>
    </row>
    <row r="15" spans="1:3" ht="15.75">
      <c r="A15" s="1" t="s">
        <v>5</v>
      </c>
      <c r="B15" s="7">
        <f t="shared" si="0"/>
        <v>0</v>
      </c>
      <c r="C15" s="1"/>
    </row>
    <row r="16" spans="1:3" ht="15.75">
      <c r="A16" s="1" t="s">
        <v>6</v>
      </c>
      <c r="B16" s="7">
        <f t="shared" si="0"/>
        <v>735.08333333333337</v>
      </c>
      <c r="C16" s="1">
        <v>8821</v>
      </c>
    </row>
    <row r="17" spans="1:3" ht="15.75">
      <c r="A17" s="1" t="s">
        <v>7</v>
      </c>
      <c r="B17" s="7">
        <f t="shared" si="0"/>
        <v>1416.2700000000002</v>
      </c>
      <c r="C17" s="1">
        <v>16995.240000000002</v>
      </c>
    </row>
    <row r="18" spans="1:3" ht="15.75">
      <c r="A18" s="1" t="s">
        <v>8</v>
      </c>
      <c r="B18" s="7">
        <f t="shared" si="0"/>
        <v>340.36333333333334</v>
      </c>
      <c r="C18" s="1">
        <v>4084.36</v>
      </c>
    </row>
    <row r="19" spans="1:3" ht="15.75">
      <c r="A19" s="1" t="s">
        <v>9</v>
      </c>
      <c r="B19" s="7">
        <f t="shared" si="0"/>
        <v>0</v>
      </c>
      <c r="C19" s="1"/>
    </row>
    <row r="20" spans="1:3" ht="15.75">
      <c r="A20" s="1" t="s">
        <v>10</v>
      </c>
      <c r="B20" s="7">
        <f t="shared" si="0"/>
        <v>758.02833333333331</v>
      </c>
      <c r="C20" s="1">
        <v>9096.34</v>
      </c>
    </row>
    <row r="21" spans="1:3" ht="15.75">
      <c r="A21" s="1" t="s">
        <v>11</v>
      </c>
      <c r="B21" s="7">
        <f t="shared" si="0"/>
        <v>1903.7841666666666</v>
      </c>
      <c r="C21" s="1">
        <v>22845.41</v>
      </c>
    </row>
    <row r="22" spans="1:3" ht="15.75">
      <c r="A22" s="1" t="s">
        <v>12</v>
      </c>
      <c r="B22" s="7">
        <f t="shared" si="0"/>
        <v>2812.165833333333</v>
      </c>
      <c r="C22" s="1">
        <v>33745.99</v>
      </c>
    </row>
    <row r="23" spans="1:3" ht="15.75">
      <c r="A23" s="1" t="s">
        <v>13</v>
      </c>
      <c r="B23" s="7">
        <f t="shared" si="0"/>
        <v>638.02583333333337</v>
      </c>
      <c r="C23" s="1">
        <v>7656.31</v>
      </c>
    </row>
    <row r="24" spans="1:3" ht="15.75">
      <c r="A24" s="1" t="s">
        <v>14</v>
      </c>
      <c r="B24" s="7">
        <f t="shared" si="0"/>
        <v>2024.8858333333335</v>
      </c>
      <c r="C24" s="1">
        <v>24298.63</v>
      </c>
    </row>
    <row r="25" spans="1:3" ht="15.75">
      <c r="A25" s="1" t="s">
        <v>29</v>
      </c>
      <c r="B25" s="7">
        <f t="shared" si="0"/>
        <v>221.50750000000002</v>
      </c>
      <c r="C25" s="1">
        <v>2658.09</v>
      </c>
    </row>
    <row r="26" spans="1:3" ht="15.75">
      <c r="A26" s="1" t="s">
        <v>19</v>
      </c>
      <c r="B26" s="7">
        <f t="shared" si="0"/>
        <v>6017.9266666666663</v>
      </c>
      <c r="C26" s="1">
        <v>72215.12</v>
      </c>
    </row>
    <row r="27" spans="1:3" ht="15.75">
      <c r="A27" s="1" t="s">
        <v>78</v>
      </c>
      <c r="B27" s="7">
        <f t="shared" si="0"/>
        <v>9106.9449999999997</v>
      </c>
      <c r="C27" s="1">
        <v>109283.34</v>
      </c>
    </row>
    <row r="28" spans="1:3" ht="15.75">
      <c r="A28" s="6" t="s">
        <v>79</v>
      </c>
      <c r="B28" s="7">
        <f t="shared" si="0"/>
        <v>42603.432500000003</v>
      </c>
      <c r="C28" s="6">
        <f>SUM(C13:C27)</f>
        <v>511241.19000000006</v>
      </c>
    </row>
    <row r="29" spans="1:3" ht="15.75">
      <c r="A29" s="6" t="s">
        <v>80</v>
      </c>
      <c r="B29" s="7"/>
      <c r="C29" s="6"/>
    </row>
    <row r="30" spans="1:3" ht="15.75">
      <c r="A30" s="6" t="s">
        <v>81</v>
      </c>
      <c r="B30" s="1"/>
      <c r="C30" s="6">
        <v>49221.71</v>
      </c>
    </row>
    <row r="31" spans="1:3" ht="15.75">
      <c r="A31" s="1" t="s">
        <v>33</v>
      </c>
      <c r="B31" s="6">
        <v>56777.18</v>
      </c>
      <c r="C31" s="1"/>
    </row>
    <row r="32" spans="1:3" ht="15.75">
      <c r="A32" s="1" t="s">
        <v>22</v>
      </c>
      <c r="B32" s="1"/>
      <c r="C32" s="1"/>
    </row>
    <row r="33" spans="1:2" ht="15.75">
      <c r="A33" s="1" t="s">
        <v>23</v>
      </c>
    </row>
    <row r="34" spans="1:2" ht="15.75">
      <c r="A34" s="1" t="s">
        <v>82</v>
      </c>
      <c r="B34" s="4">
        <v>16719.560000000001</v>
      </c>
    </row>
    <row r="36" spans="1:2" ht="15.75">
      <c r="A36" s="10" t="s">
        <v>73</v>
      </c>
    </row>
    <row r="38" spans="1:2">
      <c r="A38" t="s">
        <v>75</v>
      </c>
    </row>
    <row r="39" spans="1:2">
      <c r="A39" t="s">
        <v>74</v>
      </c>
    </row>
    <row r="41" spans="1:2">
      <c r="A41" t="s">
        <v>76</v>
      </c>
    </row>
  </sheetData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41"/>
  <sheetViews>
    <sheetView topLeftCell="A11" workbookViewId="0">
      <selection activeCell="F25" sqref="F25"/>
    </sheetView>
  </sheetViews>
  <sheetFormatPr defaultRowHeight="15"/>
  <cols>
    <col min="1" max="1" width="58.140625" customWidth="1"/>
    <col min="2" max="2" width="14.140625" customWidth="1"/>
    <col min="3" max="3" width="14.28515625" customWidth="1"/>
  </cols>
  <sheetData>
    <row r="1" spans="1:3" ht="15.75">
      <c r="A1" s="1" t="s">
        <v>0</v>
      </c>
    </row>
    <row r="2" spans="1:3" ht="15.75">
      <c r="A2" s="1" t="s">
        <v>125</v>
      </c>
      <c r="B2" s="1"/>
      <c r="C2" s="1"/>
    </row>
    <row r="3" spans="1:3" ht="15.75">
      <c r="A3" s="1" t="s">
        <v>92</v>
      </c>
      <c r="B3" s="1"/>
      <c r="C3" s="1"/>
    </row>
    <row r="4" spans="1:3" ht="15.75">
      <c r="A4" s="1" t="s">
        <v>28</v>
      </c>
      <c r="B4" s="1"/>
      <c r="C4" s="1"/>
    </row>
    <row r="5" spans="1:3" ht="15.75">
      <c r="A5" s="1" t="s">
        <v>77</v>
      </c>
      <c r="B5" s="1"/>
      <c r="C5" s="1"/>
    </row>
    <row r="6" spans="1:3" ht="15.75">
      <c r="A6" s="1"/>
      <c r="B6" s="1"/>
      <c r="C6" s="1"/>
    </row>
    <row r="7" spans="1:3" ht="15.75">
      <c r="A7" s="1" t="s">
        <v>1</v>
      </c>
      <c r="B7" s="1" t="s">
        <v>2</v>
      </c>
      <c r="C7" s="1" t="s">
        <v>3</v>
      </c>
    </row>
    <row r="8" spans="1:3" ht="15.75">
      <c r="A8" s="1" t="s">
        <v>138</v>
      </c>
      <c r="B8" s="2"/>
      <c r="C8" s="6">
        <v>-4962.92</v>
      </c>
    </row>
    <row r="9" spans="1:3" ht="15.75">
      <c r="A9" s="1" t="s">
        <v>4</v>
      </c>
      <c r="B9" s="7">
        <f>C9/12</f>
        <v>36614.01666666667</v>
      </c>
      <c r="C9" s="1">
        <v>439368.2</v>
      </c>
    </row>
    <row r="10" spans="1:3" ht="15.75">
      <c r="A10" s="1" t="s">
        <v>31</v>
      </c>
      <c r="B10" s="7">
        <f t="shared" ref="B10:B28" si="0">C10/12</f>
        <v>1000.8333333333334</v>
      </c>
      <c r="C10" s="1">
        <v>12010</v>
      </c>
    </row>
    <row r="11" spans="1:3" ht="15.75">
      <c r="A11" s="6" t="s">
        <v>17</v>
      </c>
      <c r="B11" s="7">
        <f t="shared" si="0"/>
        <v>37614.85</v>
      </c>
      <c r="C11" s="6">
        <f>SUM(C9:C10)</f>
        <v>451378.2</v>
      </c>
    </row>
    <row r="12" spans="1:3" ht="15.75">
      <c r="A12" s="1" t="s">
        <v>18</v>
      </c>
      <c r="B12" s="7">
        <f t="shared" si="0"/>
        <v>0</v>
      </c>
      <c r="C12" s="1"/>
    </row>
    <row r="13" spans="1:3" ht="15.75">
      <c r="A13" s="1" t="s">
        <v>25</v>
      </c>
      <c r="B13" s="7">
        <f t="shared" si="0"/>
        <v>9795.6675000000014</v>
      </c>
      <c r="C13" s="1">
        <f>96056.02+21491.99</f>
        <v>117548.01000000001</v>
      </c>
    </row>
    <row r="14" spans="1:3" ht="15.75">
      <c r="A14" s="1" t="s">
        <v>32</v>
      </c>
      <c r="B14" s="7">
        <f t="shared" si="0"/>
        <v>8987.5283333333336</v>
      </c>
      <c r="C14" s="1">
        <f>28787.52+79062.82</f>
        <v>107850.34000000001</v>
      </c>
    </row>
    <row r="15" spans="1:3" ht="15.75">
      <c r="A15" s="1" t="s">
        <v>5</v>
      </c>
      <c r="B15" s="7">
        <f t="shared" si="0"/>
        <v>0</v>
      </c>
      <c r="C15" s="1"/>
    </row>
    <row r="16" spans="1:3" ht="15.75">
      <c r="A16" s="1" t="s">
        <v>6</v>
      </c>
      <c r="B16" s="7">
        <f t="shared" si="0"/>
        <v>239.08333333333334</v>
      </c>
      <c r="C16" s="1">
        <v>2869</v>
      </c>
    </row>
    <row r="17" spans="1:3" ht="15.75">
      <c r="A17" s="1" t="s">
        <v>7</v>
      </c>
      <c r="B17" s="7">
        <f t="shared" si="0"/>
        <v>1420.14</v>
      </c>
      <c r="C17" s="1">
        <v>17041.68</v>
      </c>
    </row>
    <row r="18" spans="1:3" ht="15.75">
      <c r="A18" s="1" t="s">
        <v>8</v>
      </c>
      <c r="B18" s="7">
        <f t="shared" si="0"/>
        <v>115.06</v>
      </c>
      <c r="C18" s="1">
        <v>1380.72</v>
      </c>
    </row>
    <row r="19" spans="1:3" ht="15.75">
      <c r="A19" s="1" t="s">
        <v>9</v>
      </c>
      <c r="B19" s="7">
        <f t="shared" si="0"/>
        <v>0</v>
      </c>
      <c r="C19" s="1"/>
    </row>
    <row r="20" spans="1:3" ht="15.75">
      <c r="A20" s="1" t="s">
        <v>10</v>
      </c>
      <c r="B20" s="7">
        <f t="shared" si="0"/>
        <v>758.02833333333331</v>
      </c>
      <c r="C20" s="1">
        <v>9096.34</v>
      </c>
    </row>
    <row r="21" spans="1:3" ht="15.75">
      <c r="A21" s="1" t="s">
        <v>11</v>
      </c>
      <c r="B21" s="7">
        <f t="shared" si="0"/>
        <v>1821.2158333333334</v>
      </c>
      <c r="C21" s="1">
        <v>21854.59</v>
      </c>
    </row>
    <row r="22" spans="1:3" ht="15.75">
      <c r="A22" s="1" t="s">
        <v>12</v>
      </c>
      <c r="B22" s="7">
        <f t="shared" si="0"/>
        <v>2798.8425000000002</v>
      </c>
      <c r="C22" s="1">
        <v>33586.11</v>
      </c>
    </row>
    <row r="23" spans="1:3" ht="15.75">
      <c r="A23" s="1" t="s">
        <v>13</v>
      </c>
      <c r="B23" s="7">
        <f t="shared" si="0"/>
        <v>501.00166666666672</v>
      </c>
      <c r="C23" s="1">
        <v>6012.02</v>
      </c>
    </row>
    <row r="24" spans="1:3" ht="15.75">
      <c r="A24" s="1" t="s">
        <v>14</v>
      </c>
      <c r="B24" s="7">
        <f t="shared" si="0"/>
        <v>1956.5758333333333</v>
      </c>
      <c r="C24" s="1">
        <v>23478.91</v>
      </c>
    </row>
    <row r="25" spans="1:3" ht="15.75">
      <c r="A25" s="1" t="s">
        <v>29</v>
      </c>
      <c r="B25" s="7">
        <f t="shared" si="0"/>
        <v>242.06500000000003</v>
      </c>
      <c r="C25" s="1">
        <v>2904.78</v>
      </c>
    </row>
    <row r="26" spans="1:3" ht="15.75">
      <c r="A26" s="1" t="s">
        <v>19</v>
      </c>
      <c r="B26" s="7">
        <f t="shared" si="0"/>
        <v>0</v>
      </c>
      <c r="C26" s="1"/>
    </row>
    <row r="27" spans="1:3" ht="15.75">
      <c r="A27" s="1" t="s">
        <v>78</v>
      </c>
      <c r="B27" s="7">
        <f t="shared" si="0"/>
        <v>9132.0866666666661</v>
      </c>
      <c r="C27" s="1">
        <v>109585.04</v>
      </c>
    </row>
    <row r="28" spans="1:3" ht="15.75">
      <c r="A28" s="6" t="s">
        <v>79</v>
      </c>
      <c r="B28" s="7">
        <f t="shared" si="0"/>
        <v>37767.295000000006</v>
      </c>
      <c r="C28" s="6">
        <f>SUM(C13:C27)</f>
        <v>453207.54000000004</v>
      </c>
    </row>
    <row r="29" spans="1:3" ht="15.75">
      <c r="A29" s="6" t="s">
        <v>80</v>
      </c>
      <c r="B29" s="7"/>
      <c r="C29" s="6"/>
    </row>
    <row r="30" spans="1:3" ht="15.75">
      <c r="A30" s="6" t="s">
        <v>81</v>
      </c>
      <c r="B30" s="1"/>
      <c r="C30" s="6">
        <v>6792.26</v>
      </c>
    </row>
    <row r="31" spans="1:3" ht="15.75">
      <c r="A31" s="1" t="s">
        <v>33</v>
      </c>
      <c r="B31" s="6">
        <v>215615.86</v>
      </c>
      <c r="C31" s="1"/>
    </row>
    <row r="32" spans="1:3" ht="15.75">
      <c r="A32" s="1" t="s">
        <v>22</v>
      </c>
      <c r="B32" s="1"/>
      <c r="C32" s="1"/>
    </row>
    <row r="33" spans="1:2" ht="15.75">
      <c r="A33" s="1" t="s">
        <v>23</v>
      </c>
    </row>
    <row r="34" spans="1:2" ht="15.75">
      <c r="A34" s="1" t="s">
        <v>82</v>
      </c>
      <c r="B34" s="4">
        <v>22537.87</v>
      </c>
    </row>
    <row r="36" spans="1:2" ht="15.75">
      <c r="A36" s="10" t="s">
        <v>73</v>
      </c>
    </row>
    <row r="38" spans="1:2">
      <c r="A38" t="s">
        <v>75</v>
      </c>
    </row>
    <row r="39" spans="1:2">
      <c r="A39" t="s">
        <v>74</v>
      </c>
    </row>
    <row r="41" spans="1:2">
      <c r="A41" t="s">
        <v>76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73</vt:i4>
      </vt:variant>
    </vt:vector>
  </HeadingPairs>
  <TitlesOfParts>
    <vt:vector size="73" baseType="lpstr">
      <vt:lpstr>Косм.62</vt:lpstr>
      <vt:lpstr>Косм.60</vt:lpstr>
      <vt:lpstr>Косм.56</vt:lpstr>
      <vt:lpstr>Косм.52</vt:lpstr>
      <vt:lpstr>Косм.50</vt:lpstr>
      <vt:lpstr>Косм.24</vt:lpstr>
      <vt:lpstr>Косм.48</vt:lpstr>
      <vt:lpstr>Косм.30</vt:lpstr>
      <vt:lpstr>Косм.28</vt:lpstr>
      <vt:lpstr>Косм.26</vt:lpstr>
      <vt:lpstr>Косм 22а</vt:lpstr>
      <vt:lpstr>Косм.22</vt:lpstr>
      <vt:lpstr>Косм.18</vt:lpstr>
      <vt:lpstr>Б.Пион.27</vt:lpstr>
      <vt:lpstr>Б.Пион.25</vt:lpstr>
      <vt:lpstr>Б.Пион.21</vt:lpstr>
      <vt:lpstr>Б.Пион.15</vt:lpstr>
      <vt:lpstr>Б.Пион.5</vt:lpstr>
      <vt:lpstr>Б.Пион.3</vt:lpstr>
      <vt:lpstr>Б.Пион.1</vt:lpstr>
      <vt:lpstr>Ю.Ян.10.2</vt:lpstr>
      <vt:lpstr>Ю.Ян.10.1</vt:lpstr>
      <vt:lpstr>Ю.Ян.12А</vt:lpstr>
      <vt:lpstr>Ю.Ян.14А</vt:lpstr>
      <vt:lpstr>Ю.Ян.15</vt:lpstr>
      <vt:lpstr>Ю.Ян.8.2</vt:lpstr>
      <vt:lpstr>Ю.Ян.8.1</vt:lpstr>
      <vt:lpstr>Ю.Ян.24</vt:lpstr>
      <vt:lpstr>Г.Сиб.87</vt:lpstr>
      <vt:lpstr>Г.Сиб.105</vt:lpstr>
      <vt:lpstr>Г.Сиб.103</vt:lpstr>
      <vt:lpstr>Г.Сиб.101</vt:lpstr>
      <vt:lpstr>Г.Сиб.99</vt:lpstr>
      <vt:lpstr>Г.Сиб.89</vt:lpstr>
      <vt:lpstr>Ворош.46</vt:lpstr>
      <vt:lpstr>Ворош.44</vt:lpstr>
      <vt:lpstr>Ворош.42</vt:lpstr>
      <vt:lpstr>Ворош.40</vt:lpstr>
      <vt:lpstr>Ворош.38</vt:lpstr>
      <vt:lpstr>Ворош.34</vt:lpstr>
      <vt:lpstr>Ворош.28</vt:lpstr>
      <vt:lpstr>Ворош.26</vt:lpstr>
      <vt:lpstr>Ворош.24</vt:lpstr>
      <vt:lpstr>Дом.63</vt:lpstr>
      <vt:lpstr>Дом.75</vt:lpstr>
      <vt:lpstr>Дом.79</vt:lpstr>
      <vt:lpstr>Дом.77</vt:lpstr>
      <vt:lpstr>Дом.61</vt:lpstr>
      <vt:lpstr>Дом.59</vt:lpstr>
      <vt:lpstr>Дом.55</vt:lpstr>
      <vt:lpstr>Дом.57</vt:lpstr>
      <vt:lpstr>Дом.45</vt:lpstr>
      <vt:lpstr>Дом.43</vt:lpstr>
      <vt:lpstr>Дом.37</vt:lpstr>
      <vt:lpstr>Дом.35</vt:lpstr>
      <vt:lpstr>Дом.33</vt:lpstr>
      <vt:lpstr>Дом.31</vt:lpstr>
      <vt:lpstr>Дом.25</vt:lpstr>
      <vt:lpstr>Дом.19</vt:lpstr>
      <vt:lpstr>Дом.17</vt:lpstr>
      <vt:lpstr>Дом.15</vt:lpstr>
      <vt:lpstr>Крив.70</vt:lpstr>
      <vt:lpstr>Крив.68</vt:lpstr>
      <vt:lpstr>Г.Сиб 105</vt:lpstr>
      <vt:lpstr>Г.Сиб103</vt:lpstr>
      <vt:lpstr>Г.Сиб101</vt:lpstr>
      <vt:lpstr>Г.Сиб 99</vt:lpstr>
      <vt:lpstr>Г.Сиб 89</vt:lpstr>
      <vt:lpstr>Г.Сиб 87</vt:lpstr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2014-04-24T09:36:20Z</dcterms:modified>
</cp:coreProperties>
</file>